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E733" lockStructure="1"/>
  <bookViews>
    <workbookView xWindow="0" yWindow="0" windowWidth="24000" windowHeight="9045"/>
  </bookViews>
  <sheets>
    <sheet name="Mon Entreprise" sheetId="1" r:id="rId1"/>
    <sheet name="Mes Aides" sheetId="3" r:id="rId2"/>
    <sheet name="Explication des Calculs" sheetId="4" r:id="rId3"/>
    <sheet name="Annexes" sheetId="2"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64" i="4" l="1"/>
  <c r="AB262" i="4"/>
  <c r="AB261" i="4"/>
  <c r="AB260" i="4"/>
  <c r="AB258" i="4"/>
  <c r="AB256" i="4"/>
  <c r="AB248" i="4"/>
  <c r="AE242" i="4"/>
  <c r="AB242" i="4"/>
  <c r="Y242" i="4"/>
  <c r="AE241" i="4"/>
  <c r="AB241" i="4"/>
  <c r="AB250" i="4" s="1"/>
  <c r="AB263" i="4" s="1"/>
  <c r="Y241" i="4"/>
  <c r="AE240" i="4"/>
  <c r="AB240" i="4"/>
  <c r="Y240" i="4"/>
  <c r="AB212" i="4"/>
  <c r="AB211" i="4"/>
  <c r="AB210" i="4"/>
  <c r="AB209" i="4"/>
  <c r="AB208" i="4"/>
  <c r="AB207" i="4"/>
  <c r="AB205" i="4"/>
  <c r="AB197" i="4"/>
  <c r="AE191" i="4"/>
  <c r="AB191" i="4"/>
  <c r="Y191" i="4"/>
  <c r="AE190" i="4"/>
  <c r="AB190" i="4"/>
  <c r="Y190" i="4"/>
  <c r="AE189" i="4"/>
  <c r="AB189" i="4"/>
  <c r="AB199" i="4" s="1"/>
  <c r="Y189" i="4"/>
  <c r="AB153" i="4"/>
  <c r="AB152" i="4"/>
  <c r="AB151" i="4"/>
  <c r="AB150" i="4"/>
  <c r="AB149" i="4"/>
  <c r="AB147" i="4"/>
  <c r="AB139" i="4"/>
  <c r="AE133" i="4"/>
  <c r="AB133" i="4"/>
  <c r="Y133" i="4"/>
  <c r="AE132" i="4"/>
  <c r="AB132" i="4"/>
  <c r="Y132" i="4"/>
  <c r="AE131" i="4"/>
  <c r="AB131" i="4"/>
  <c r="AB140" i="4" s="1"/>
  <c r="Y131" i="4"/>
  <c r="D122" i="4"/>
  <c r="AB116" i="4"/>
  <c r="AB115" i="4"/>
  <c r="AB114" i="4"/>
  <c r="AB113" i="4"/>
  <c r="AB112" i="4"/>
  <c r="AB102" i="4"/>
  <c r="AE99" i="4"/>
  <c r="AB99" i="4"/>
  <c r="Y99" i="4"/>
  <c r="AE98" i="4"/>
  <c r="AB98" i="4"/>
  <c r="Y98" i="4"/>
  <c r="AE97" i="4"/>
  <c r="AB97" i="4"/>
  <c r="AB103" i="4" s="1"/>
  <c r="Y97" i="4"/>
  <c r="AB88" i="4"/>
  <c r="AB87" i="4"/>
  <c r="AB86" i="4"/>
  <c r="AB62" i="4" s="1"/>
  <c r="AE82" i="4"/>
  <c r="AB82" i="4"/>
  <c r="Y82" i="4"/>
  <c r="D82" i="4"/>
  <c r="AE81" i="4"/>
  <c r="AB81" i="4"/>
  <c r="Y81" i="4"/>
  <c r="AE80" i="4"/>
  <c r="D80" i="4" s="1"/>
  <c r="AB80" i="4"/>
  <c r="Y80" i="4"/>
  <c r="E79" i="4"/>
  <c r="D78" i="4"/>
  <c r="D51" i="4"/>
  <c r="AB50" i="4"/>
  <c r="AB60" i="4" s="1"/>
  <c r="AB48" i="4"/>
  <c r="AB47" i="4"/>
  <c r="AB46" i="4"/>
  <c r="AE44" i="4"/>
  <c r="AB44" i="4"/>
  <c r="Y44" i="4"/>
  <c r="AE43" i="4"/>
  <c r="D54" i="4" s="1"/>
  <c r="AB43" i="4"/>
  <c r="Y43" i="4"/>
  <c r="AE42" i="4"/>
  <c r="AB42" i="4"/>
  <c r="Y42" i="4"/>
  <c r="AB31" i="4"/>
  <c r="AB30" i="4"/>
  <c r="AB29" i="4"/>
  <c r="D29" i="4"/>
  <c r="AE26" i="4"/>
  <c r="AB26" i="4"/>
  <c r="Y26" i="4"/>
  <c r="E26" i="4"/>
  <c r="AE25" i="4"/>
  <c r="AB25" i="4"/>
  <c r="Y25" i="4"/>
  <c r="D25" i="4"/>
  <c r="AE24" i="4"/>
  <c r="AB24" i="4"/>
  <c r="AB32" i="4" s="1"/>
  <c r="Y24" i="4"/>
  <c r="D67" i="4" l="1"/>
  <c r="AB268" i="4"/>
  <c r="E113" i="4"/>
  <c r="D249" i="4"/>
  <c r="D52" i="4"/>
  <c r="D27" i="4"/>
  <c r="AB89" i="4"/>
  <c r="AB118" i="4"/>
  <c r="AB124" i="4" s="1"/>
  <c r="AB154" i="4"/>
  <c r="AB223" i="4"/>
  <c r="D251" i="4"/>
  <c r="AB104" i="4"/>
  <c r="AB123" i="4" s="1"/>
  <c r="D95" i="4" s="1"/>
  <c r="D116" i="4"/>
  <c r="AB157" i="4"/>
  <c r="AB213" i="4"/>
  <c r="AB216" i="4"/>
  <c r="D264" i="4"/>
  <c r="AB266" i="4"/>
  <c r="D267" i="4" s="1"/>
  <c r="D56" i="4"/>
  <c r="D105" i="4"/>
  <c r="AB119" i="4"/>
  <c r="D153" i="4"/>
  <c r="AB155" i="4"/>
  <c r="D156" i="4" s="1"/>
  <c r="D198" i="4"/>
  <c r="D225" i="4"/>
  <c r="AB249" i="4"/>
  <c r="AB275" i="4"/>
  <c r="D278" i="4"/>
  <c r="AB55" i="4"/>
  <c r="D211" i="4"/>
  <c r="AB51" i="4"/>
  <c r="D103" i="4"/>
  <c r="D115" i="4"/>
  <c r="AB117" i="4"/>
  <c r="AB120" i="4"/>
  <c r="D140" i="4"/>
  <c r="D167" i="4"/>
  <c r="AB198" i="4"/>
  <c r="AB214" i="4"/>
  <c r="AB224" i="4" s="1"/>
  <c r="AB52" i="4"/>
  <c r="AB61" i="4"/>
  <c r="D42" i="4" s="1"/>
  <c r="AB141" i="4"/>
  <c r="AB164" i="4" s="1"/>
  <c r="D200" i="4"/>
  <c r="AB49" i="4"/>
  <c r="AB265" i="4"/>
  <c r="E94" i="1"/>
  <c r="E101" i="1"/>
  <c r="E27" i="1"/>
  <c r="E25" i="1"/>
  <c r="AB261" i="3"/>
  <c r="E53" i="1"/>
  <c r="E48" i="1"/>
  <c r="D118" i="4" l="1"/>
  <c r="D214" i="4"/>
  <c r="AB121" i="4"/>
  <c r="AB276" i="4"/>
  <c r="AB54" i="4"/>
  <c r="AB56" i="4" s="1"/>
  <c r="D65" i="4"/>
  <c r="D68" i="4"/>
  <c r="AB53" i="4"/>
  <c r="D70" i="4"/>
  <c r="AB148" i="4"/>
  <c r="AB206" i="4"/>
  <c r="AB257" i="4"/>
  <c r="AB165" i="4"/>
  <c r="D142" i="4"/>
  <c r="I98" i="1"/>
  <c r="F98" i="1"/>
  <c r="E97" i="1"/>
  <c r="E96" i="1"/>
  <c r="E95" i="1"/>
  <c r="F105" i="1"/>
  <c r="I112" i="1"/>
  <c r="F112" i="1"/>
  <c r="E110" i="1"/>
  <c r="E109" i="1"/>
  <c r="AB263" i="3"/>
  <c r="AB260" i="3"/>
  <c r="AB259" i="3"/>
  <c r="AB248" i="3"/>
  <c r="AE240" i="3"/>
  <c r="AB240" i="3"/>
  <c r="Y240" i="3"/>
  <c r="J83" i="1"/>
  <c r="AB215" i="4" l="1"/>
  <c r="AB217" i="4" s="1"/>
  <c r="D226" i="4"/>
  <c r="E209" i="4"/>
  <c r="E223" i="4"/>
  <c r="AB225" i="4"/>
  <c r="D189" i="4" s="1"/>
  <c r="D212" i="4"/>
  <c r="D229" i="4"/>
  <c r="D171" i="4"/>
  <c r="D154" i="4"/>
  <c r="AB156" i="4"/>
  <c r="AB158" i="4" s="1"/>
  <c r="D168" i="4"/>
  <c r="AB166" i="4"/>
  <c r="D175" i="4" s="1"/>
  <c r="E151" i="4"/>
  <c r="E165" i="4"/>
  <c r="AB267" i="4"/>
  <c r="AB269" i="4" s="1"/>
  <c r="D282" i="4"/>
  <c r="AB277" i="4"/>
  <c r="D240" i="4" s="1"/>
  <c r="E276" i="4"/>
  <c r="E261" i="4"/>
  <c r="D279" i="4"/>
  <c r="D265" i="4"/>
  <c r="AE242" i="3"/>
  <c r="AB242" i="3"/>
  <c r="Y242" i="3"/>
  <c r="E108" i="1"/>
  <c r="E102" i="1"/>
  <c r="D131" i="4" l="1"/>
  <c r="AB211" i="3"/>
  <c r="AB212" i="3"/>
  <c r="AB210" i="3"/>
  <c r="AB209" i="3"/>
  <c r="D122" i="3"/>
  <c r="AB152" i="3" l="1"/>
  <c r="AB114" i="3" l="1"/>
  <c r="E128" i="1" l="1"/>
  <c r="E62" i="1" l="1"/>
  <c r="E92" i="1"/>
  <c r="E131" i="1" l="1"/>
  <c r="F130" i="1"/>
  <c r="I130" i="1"/>
  <c r="I105" i="1"/>
  <c r="E117" i="1"/>
  <c r="E103" i="1"/>
  <c r="AB191" i="3" l="1"/>
  <c r="AE191" i="3"/>
  <c r="Y191" i="3"/>
  <c r="AB189" i="3"/>
  <c r="AE189" i="3"/>
  <c r="Y189" i="3"/>
  <c r="AB197" i="3"/>
  <c r="AB208" i="3"/>
  <c r="AB151" i="3"/>
  <c r="N128" i="1"/>
  <c r="N124" i="1"/>
  <c r="E129" i="1"/>
  <c r="I126" i="1"/>
  <c r="F126" i="1"/>
  <c r="E124" i="1"/>
  <c r="M63" i="1"/>
  <c r="L59" i="1"/>
  <c r="O60" i="1"/>
  <c r="E22" i="1"/>
  <c r="AB150" i="3" l="1"/>
  <c r="I63" i="1"/>
  <c r="I83" i="1" s="1"/>
  <c r="F63" i="1"/>
  <c r="AB258" i="3" l="1"/>
  <c r="AE241" i="3"/>
  <c r="AB241" i="3"/>
  <c r="Y241" i="3"/>
  <c r="AB149" i="3"/>
  <c r="AB207" i="3"/>
  <c r="AB112" i="3"/>
  <c r="AB205" i="3"/>
  <c r="AE190" i="3"/>
  <c r="AB190" i="3"/>
  <c r="Y190" i="3"/>
  <c r="AB256" i="3" l="1"/>
  <c r="D277" i="3"/>
  <c r="AB250" i="3"/>
  <c r="AB262" i="3" s="1"/>
  <c r="D266" i="3" s="1"/>
  <c r="AB265" i="3"/>
  <c r="AB249" i="3"/>
  <c r="D249" i="3"/>
  <c r="AB267" i="3"/>
  <c r="AB264" i="3"/>
  <c r="D263" i="3"/>
  <c r="AB147" i="3"/>
  <c r="AB214" i="3"/>
  <c r="AB216" i="3"/>
  <c r="AB213" i="3"/>
  <c r="D211" i="3"/>
  <c r="D225" i="3"/>
  <c r="AB199" i="3"/>
  <c r="AB198" i="3"/>
  <c r="D198" i="3"/>
  <c r="AB274" i="3" l="1"/>
  <c r="D251" i="3"/>
  <c r="D200" i="3"/>
  <c r="AB223" i="3"/>
  <c r="E46" i="1"/>
  <c r="E43" i="1"/>
  <c r="AB139" i="3" l="1"/>
  <c r="AB113" i="3" l="1"/>
  <c r="AB48" i="3"/>
  <c r="AB47" i="3"/>
  <c r="E84" i="1"/>
  <c r="N103" i="1"/>
  <c r="N110" i="1"/>
  <c r="AE132" i="3" l="1"/>
  <c r="AE133" i="3"/>
  <c r="Y133" i="3"/>
  <c r="AB133" i="3"/>
  <c r="Y99" i="3"/>
  <c r="AE97" i="3" l="1"/>
  <c r="AB257" i="3" l="1"/>
  <c r="AB153" i="3"/>
  <c r="AB116" i="3"/>
  <c r="AB115" i="3"/>
  <c r="AB131" i="3"/>
  <c r="AB102" i="3"/>
  <c r="AE131" i="3"/>
  <c r="Y131" i="3"/>
  <c r="E260" i="3" l="1"/>
  <c r="D278" i="3"/>
  <c r="E275" i="3"/>
  <c r="D281" i="3"/>
  <c r="AB266" i="3"/>
  <c r="AB268" i="3" s="1"/>
  <c r="AB275" i="3" s="1"/>
  <c r="AB276" i="3"/>
  <c r="E74" i="1"/>
  <c r="E71" i="1"/>
  <c r="E75" i="1"/>
  <c r="E72" i="1"/>
  <c r="D240" i="3" l="1"/>
  <c r="D264" i="3"/>
  <c r="F114" i="1"/>
  <c r="F113" i="1" l="1"/>
  <c r="AB87" i="3"/>
  <c r="AC47" i="2" l="1"/>
  <c r="AB97" i="3"/>
  <c r="Y97" i="3"/>
  <c r="AB88" i="3"/>
  <c r="AB86" i="3"/>
  <c r="AE81" i="3"/>
  <c r="AB81" i="3"/>
  <c r="Y81" i="3"/>
  <c r="AE80" i="3"/>
  <c r="AB80" i="3"/>
  <c r="Y80" i="3"/>
  <c r="E79" i="3"/>
  <c r="D78" i="3"/>
  <c r="D51" i="3"/>
  <c r="AB50" i="3"/>
  <c r="AE42" i="3"/>
  <c r="AB42" i="3"/>
  <c r="Y42" i="3"/>
  <c r="AB31" i="3"/>
  <c r="AB30" i="3"/>
  <c r="AB29" i="3"/>
  <c r="E26" i="3"/>
  <c r="AE25" i="3"/>
  <c r="AB25" i="3"/>
  <c r="Y25" i="3"/>
  <c r="D25" i="3"/>
  <c r="AE24" i="3"/>
  <c r="AB24" i="3"/>
  <c r="Y24" i="3"/>
  <c r="I121" i="1"/>
  <c r="F121" i="1"/>
  <c r="N119" i="1"/>
  <c r="E119" i="1"/>
  <c r="E118" i="1"/>
  <c r="I113" i="1"/>
  <c r="AB132" i="3"/>
  <c r="J61" i="1"/>
  <c r="AB140" i="3" l="1"/>
  <c r="AB141" i="3"/>
  <c r="D153" i="3"/>
  <c r="D167" i="3"/>
  <c r="AB155" i="3"/>
  <c r="AB154" i="3"/>
  <c r="AB26" i="3"/>
  <c r="AB32" i="3" s="1"/>
  <c r="D29" i="3" s="1"/>
  <c r="D140" i="3"/>
  <c r="D56" i="3"/>
  <c r="Y132" i="3"/>
  <c r="AB157" i="3" s="1"/>
  <c r="Y98" i="3"/>
  <c r="AB99" i="3"/>
  <c r="AE99" i="3"/>
  <c r="I114" i="1"/>
  <c r="Y26" i="3"/>
  <c r="AE26" i="3"/>
  <c r="AB60" i="3"/>
  <c r="AB44" i="3"/>
  <c r="AE44" i="3"/>
  <c r="Y44" i="3"/>
  <c r="AE43" i="3"/>
  <c r="AB98" i="3"/>
  <c r="AE98" i="3"/>
  <c r="Y43" i="3"/>
  <c r="AB43" i="3"/>
  <c r="AB104" i="3" l="1"/>
  <c r="AB206" i="3" s="1"/>
  <c r="D142" i="3"/>
  <c r="AB164" i="3"/>
  <c r="AB46" i="3"/>
  <c r="D52" i="3" s="1"/>
  <c r="D27" i="3"/>
  <c r="AB103" i="3"/>
  <c r="D67" i="3"/>
  <c r="D54" i="3"/>
  <c r="AB120" i="3"/>
  <c r="D103" i="3"/>
  <c r="AB118" i="3"/>
  <c r="AB117" i="3"/>
  <c r="D115" i="3"/>
  <c r="AB55" i="3"/>
  <c r="Y82" i="3"/>
  <c r="AB82" i="3"/>
  <c r="AE82" i="3"/>
  <c r="AB52" i="3"/>
  <c r="AB51" i="3"/>
  <c r="D229" i="3" l="1"/>
  <c r="AB225" i="3"/>
  <c r="E223" i="3"/>
  <c r="AB215" i="3"/>
  <c r="AB217" i="3" s="1"/>
  <c r="E209" i="3"/>
  <c r="D226" i="3"/>
  <c r="AB148" i="3"/>
  <c r="D168" i="3" s="1"/>
  <c r="D68" i="3"/>
  <c r="AB54" i="3"/>
  <c r="AB119" i="3"/>
  <c r="AB121" i="3" s="1"/>
  <c r="D118" i="3" s="1"/>
  <c r="E113" i="3"/>
  <c r="D105" i="3"/>
  <c r="AB123" i="3"/>
  <c r="D80" i="3"/>
  <c r="AB53" i="3"/>
  <c r="AB89" i="3"/>
  <c r="D82" i="3" s="1"/>
  <c r="AB49" i="3"/>
  <c r="D65" i="3"/>
  <c r="AB224" i="3" l="1"/>
  <c r="D214" i="3"/>
  <c r="AB166" i="3"/>
  <c r="E165" i="3"/>
  <c r="E151" i="3"/>
  <c r="AB156" i="3"/>
  <c r="AB158" i="3" s="1"/>
  <c r="D116" i="3"/>
  <c r="AB124" i="3"/>
  <c r="D95" i="3" s="1"/>
  <c r="AB56" i="3"/>
  <c r="D70" i="3" s="1"/>
  <c r="AB62" i="3"/>
  <c r="D212" i="3" l="1"/>
  <c r="D156" i="3"/>
  <c r="AB165" i="3"/>
  <c r="D175" i="3" s="1"/>
  <c r="D154" i="3"/>
  <c r="D189" i="3"/>
  <c r="AB61" i="3"/>
  <c r="D42" i="3" s="1"/>
  <c r="D171" i="3" l="1"/>
  <c r="D131" i="3"/>
</calcChain>
</file>

<file path=xl/sharedStrings.xml><?xml version="1.0" encoding="utf-8"?>
<sst xmlns="http://schemas.openxmlformats.org/spreadsheetml/2006/main" count="884" uniqueCount="365">
  <si>
    <t>Annexe 1 :</t>
  </si>
  <si>
    <t>Annexe 2 :</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</si>
  <si>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</si>
  <si>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</si>
  <si>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</si>
  <si>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</si>
  <si>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</si>
  <si>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</si>
  <si>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</si>
  <si>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</si>
  <si>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</si>
  <si>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</si>
  <si>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</si>
  <si>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</si>
  <si>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</si>
  <si>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</si>
  <si>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</si>
  <si>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</si>
  <si>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</si>
  <si>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</si>
  <si>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</si>
  <si>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</si>
  <si>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</si>
  <si>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</si>
  <si>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</si>
  <si>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</si>
  <si>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</si>
  <si>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</si>
  <si>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</si>
  <si>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</si>
  <si>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</si>
  <si>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</si>
  <si>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</si>
  <si>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</si>
  <si>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</si>
  <si>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</si>
  <si>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t>Pré-requis pour les entreprises nouvelles : avoir débuté son activité avant le 31 Août 2020</t>
  </si>
  <si>
    <t>* champs obligatoires (sauf si 0 €)</t>
  </si>
  <si>
    <t>Notice :</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</si>
  <si>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</si>
  <si>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</si>
  <si>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</si>
  <si>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</si>
  <si>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</si>
  <si>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</si>
  <si>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</si>
  <si>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</si>
  <si>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</si>
  <si>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</si>
  <si>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</si>
  <si>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</si>
  <si>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</si>
  <si>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</si>
  <si>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</si>
  <si>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</si>
  <si>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</si>
  <si>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</si>
  <si>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</si>
  <si>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</si>
  <si>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</si>
  <si>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</si>
  <si>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</si>
  <si>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</si>
  <si>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</si>
  <si>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</si>
  <si>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 Le décret 2020-1328 du 02/11/2020 (lien ici)</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</si>
  <si>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</si>
  <si>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</si>
  <si>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</si>
  <si>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</si>
  <si>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</si>
  <si>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 Notion de fermeture administrative définie au décret 2020-1310 du 29/10/2020 (lien ici)</t>
  </si>
  <si>
    <t xml:space="preserve"> * Aide pour les entreprises domicilées dans des zones ayant subi des mesures de couvre-feu de 21H-6H avec une perte de CA d'au moins 50% du CA en Octobre :</t>
  </si>
  <si>
    <t>Plafond en zone de couvre feu :</t>
  </si>
  <si>
    <t>Date de création :</t>
  </si>
  <si>
    <t>Plafond hors zone de couvre feu :</t>
  </si>
  <si>
    <t>Ticket modérateur :</t>
  </si>
  <si>
    <t>Aide couvre feu montant :</t>
  </si>
  <si>
    <t>Aide hors couvre feu montant :</t>
  </si>
  <si>
    <t>Aide fermeture administrative :</t>
  </si>
  <si>
    <t xml:space="preserve"> * Aide pour les entreprises domicilées hors des zones ayant subi des mesures de couvre-feu mais ayant une perte de CA d'au moins 50 % ou 70% du CA en Octobre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</si>
  <si>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</si>
  <si>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</si>
  <si>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</si>
  <si>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</si>
  <si>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</si>
  <si>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</si>
  <si>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</si>
  <si>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</si>
  <si>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Diff entre CA de ref et perte :</t>
  </si>
  <si>
    <t>Le couvre-feu concerne les entreprises listées à l’art. 51 du Décret 2020-1262 du 16 Octobre 2020</t>
  </si>
  <si>
    <t>Année 2019</t>
  </si>
  <si>
    <t>Année 2020</t>
  </si>
  <si>
    <t>Perte de référence :</t>
  </si>
  <si>
    <t xml:space="preserve">Mes Commentaires : </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</si>
  <si>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</si>
  <si>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</si>
  <si>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</si>
  <si>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</si>
  <si>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</si>
  <si>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</si>
  <si>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</si>
  <si>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</si>
  <si>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</si>
  <si>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</si>
  <si>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10 000 € maximum en cas de fermeture Administrative, ou avoir une perte d'au moins 50 % et être l'une des activités mentionnées en annexe 1 ,ou en annexe 2 mais avec une perte de CA d'au moins 80 % entre le 15/03/2020 et le 15/05/2020</t>
  </si>
  <si>
    <t>Aide de 15 à 20 % du CA de ref :</t>
  </si>
  <si>
    <t>Perte de chiffre d'affaire au mois de Novembre :</t>
  </si>
  <si>
    <t>Plafond</t>
  </si>
  <si>
    <t>Perte et ticket modérateur :</t>
  </si>
  <si>
    <t>de</t>
  </si>
  <si>
    <t>à</t>
  </si>
  <si>
    <t>(new**) : Activité ajoutée sur le Décret 2020-1620 du 19 Décembre 2020</t>
  </si>
  <si>
    <t>(new**) Magasins de souvenirs et de piété</t>
  </si>
  <si>
    <t>- Notre résumé des décrets 2020-1328 et 2020-1620 (lien ici)</t>
  </si>
  <si>
    <t>- Le décret 2020-1620 du 19/12/2020 (lien ici)</t>
  </si>
  <si>
    <t>Perte de chiffre d'affaire entre 2019 et 2020 :</t>
  </si>
  <si>
    <t xml:space="preserve"> - CA TOTAL :</t>
  </si>
  <si>
    <t>Annexe 3</t>
  </si>
  <si>
    <t>* Aide de 10 000 € maximum en cas de fermeture Administrative, ou avoir une perte d'au moins 50 % et être l'une des activités mentionnées en annexe 1, ou en annexe 2 ou 3 mais avec une perte de CA d'au moins 80 % entre le 15/03/2020 et le 15/05/2020 ou au mois de Novembre 2020 ou une perte de 10 % entre 2019 et 2020</t>
  </si>
  <si>
    <t>L'activité est mentionnées en annexe 2 ou 3 :</t>
  </si>
  <si>
    <t>* Aide de 15 à 20 % du CA maximum en cas de fermeture Administrative, ou est l'une des activités mentionnées en annexe 1 avec une perte d'au moins 50 %, ou en annexe 2 ou 3 avec une perte d'au moins 70 % et avec une perte de CA d'au moins 80 % entre le 15/03/2020 et le 15/05/2020 ou au mois de Novembre 2020 ou une perte de 10 % entre 2019 et 2020</t>
  </si>
  <si>
    <t>Ces aides prévues de l'article 3-15 à 3-18 ne sont pas cumulables au titre du mois de Décembre 2020</t>
  </si>
  <si>
    <r>
      <t xml:space="preserve">Vous </t>
    </r>
    <r>
      <rPr>
        <b/>
        <u/>
        <sz val="11"/>
        <color rgb="FF0D4174"/>
        <rFont val="Calibri"/>
        <family val="2"/>
        <scheme val="minor"/>
      </rPr>
      <t>devez</t>
    </r>
    <r>
      <rPr>
        <b/>
        <sz val="11"/>
        <color rgb="FF0D4174"/>
        <rFont val="Calibri"/>
        <family val="2"/>
        <scheme val="minor"/>
      </rPr>
      <t>, pour 2020 et 2021, compléter les CA réalisés :</t>
    </r>
  </si>
  <si>
    <t>Année 2021</t>
  </si>
  <si>
    <t>- Janvier :</t>
  </si>
  <si>
    <t>Aides du fonds de solidarité du mois de Janvier :</t>
  </si>
  <si>
    <t>* Aide de 1 500 € maximum en cas de perte d'au-moins 50 % du CA de Janvier 2021</t>
  </si>
  <si>
    <t>De Janvier 2019 :</t>
  </si>
  <si>
    <t>Ces aides prévues à l'article 3-19 ne sont pas cumulables au titre du mois de Janvier 2021</t>
  </si>
  <si>
    <t>Pré-requis pour les entreprises nouvelles : avoir débuté son activité avant le 31 Octobre 2020</t>
  </si>
  <si>
    <t>(new*) ou des entreprises du secteur de l'hôtellerie et de la restauration</t>
  </si>
  <si>
    <t>SUIVI DES AIDES ANNONCÉES 
PAR LE DÉCRET 2020-371</t>
  </si>
  <si>
    <t>1- Téléphériques et remontées mécaniques</t>
  </si>
  <si>
    <t>2- Hôtels et hébergement similaire</t>
  </si>
  <si>
    <t>3- Hébergement touristique et autre hébergement de courte durée</t>
  </si>
  <si>
    <t>4- Terrains de camping et parcs pour caravanes ou véhicules de loisirs</t>
  </si>
  <si>
    <t>5- Restauration traditionnelle</t>
  </si>
  <si>
    <t>6- Cafétérias et autres libres-services</t>
  </si>
  <si>
    <t>7- Restauration de type rapide</t>
  </si>
  <si>
    <t>8- Services de restauration collective sous contrat, de cantines et restaurants d'entreprise</t>
  </si>
  <si>
    <t>9- Services des traiteurs</t>
  </si>
  <si>
    <t>10- Débits de boissons</t>
  </si>
  <si>
    <t>11- Projection de films cinématographiques et autres industries techniques du cinéma et de l'image animée</t>
  </si>
  <si>
    <t>12- Post-production de films cinématographiques, de vidéo et de programmes de télévision</t>
  </si>
  <si>
    <t>13- Distribution de films cinématographiques</t>
  </si>
  <si>
    <t>15- Location et location-bail d'articles de loisirs et de sport</t>
  </si>
  <si>
    <t>16- Activités des agences de voyage</t>
  </si>
  <si>
    <t>17- Activités des voyagistes</t>
  </si>
  <si>
    <t>18- Autres services de réservation et activités connexes</t>
  </si>
  <si>
    <t>19- Organisation de foires, évènements publics ou privés, salons ou séminaires professionnels, congrès</t>
  </si>
  <si>
    <t>20- Agences de mannequins</t>
  </si>
  <si>
    <t>21- Entreprises de détaxe et bureaux de change (changeurs manuels)</t>
  </si>
  <si>
    <t>22- Enseignement de disciplines sportives et d'activités de loisirs</t>
  </si>
  <si>
    <t>24- Activités de soutien au spectacle vivant</t>
  </si>
  <si>
    <t>25- Création artistique relevant des arts plastiques</t>
  </si>
  <si>
    <t>26- Galeries d'art</t>
  </si>
  <si>
    <t>27- Artistes auteurs</t>
  </si>
  <si>
    <t>28- Gestion de salles de spectacles et production de spectacles</t>
  </si>
  <si>
    <t>29- Gestion des musées</t>
  </si>
  <si>
    <t>30- Guides conférenciers</t>
  </si>
  <si>
    <t>31- Gestion des sites et monuments historiques et des attractions touristiques similaires</t>
  </si>
  <si>
    <t>32- Gestion des jardins botaniques et zoologiques et des réserves naturelles</t>
  </si>
  <si>
    <t>33- Gestion d'installations sportives</t>
  </si>
  <si>
    <t>34- Activités de clubs de sports</t>
  </si>
  <si>
    <t>35- Activité des centres de culture physique</t>
  </si>
  <si>
    <t>36- Autres activités liées au sport</t>
  </si>
  <si>
    <t>38- Autres activités récréatives et de loisirs</t>
  </si>
  <si>
    <t>39- Exploitations de casinos</t>
  </si>
  <si>
    <t>40- Entretien corporel</t>
  </si>
  <si>
    <t>41- Trains et chemins de fer touristiques</t>
  </si>
  <si>
    <t>42- Transport transmanche</t>
  </si>
  <si>
    <t>43- Transport aérien de passagers</t>
  </si>
  <si>
    <t>44- Transport de passagers sur les fleuves, les canaux, les lacs, location de bateaux de plaisance</t>
  </si>
  <si>
    <t>47- Transport maritime et côtier de passagers</t>
  </si>
  <si>
    <t>48- Production de films et de programmes pour la télévision</t>
  </si>
  <si>
    <t>49- Production de films institutionnels et publicitaires</t>
  </si>
  <si>
    <t>50- Production de films pour le cinéma</t>
  </si>
  <si>
    <t>51- Activités photographiques</t>
  </si>
  <si>
    <t>52- Enseignement culturel</t>
  </si>
  <si>
    <t xml:space="preserve">60- Agences artistiques de cinéma </t>
  </si>
  <si>
    <t>(new***) 68- Culture de plantes à boissons</t>
  </si>
  <si>
    <t>(new***) 70- Production de boissons alcooliques distillées</t>
  </si>
  <si>
    <t>(new***) 72- Vinification</t>
  </si>
  <si>
    <r>
      <t xml:space="preserve">23- Arts du spectacle vivant, </t>
    </r>
    <r>
      <rPr>
        <sz val="9"/>
        <color theme="5"/>
        <rFont val="DIN Light"/>
      </rPr>
      <t xml:space="preserve">(new**) </t>
    </r>
    <r>
      <rPr>
        <sz val="9"/>
        <color rgb="FFED7D31"/>
        <rFont val="DIN Light"/>
      </rPr>
      <t>cirques</t>
    </r>
  </si>
  <si>
    <t xml:space="preserve">(new**) 61- Fabrication et distribution de matériels scéniques, audiovisuels et évènementiels </t>
  </si>
  <si>
    <t xml:space="preserve">(new**) 62- Exportateurs de films </t>
  </si>
  <si>
    <t xml:space="preserve">(new**) 63- Commissaires d'exposition </t>
  </si>
  <si>
    <t xml:space="preserve">(new**) 64- Scénographes d'exposition </t>
  </si>
  <si>
    <t xml:space="preserve">(new**) 65- Magasins de souvenirs et de piété </t>
  </si>
  <si>
    <t>(new**) 66- Entreprises de covoiturage</t>
  </si>
  <si>
    <t>(new**) 67- Entreprises de transport ferroviaire international de voyageurs</t>
  </si>
  <si>
    <t>(new*) 14- Conseil et assistance opérationnelle apportés aux entreprises et aux autres organisations de distribution de films cinématographiques en matière de relations publiques et de communication</t>
  </si>
  <si>
    <r>
      <t>37- Activités des parcs d'attractions,</t>
    </r>
    <r>
      <rPr>
        <sz val="9"/>
        <color theme="4"/>
        <rFont val="DIN Light"/>
      </rPr>
      <t xml:space="preserve"> (new*) </t>
    </r>
    <r>
      <rPr>
        <sz val="9"/>
        <color rgb="FF5B9BD5"/>
        <rFont val="DIN Light"/>
      </rPr>
      <t xml:space="preserve">fêtes foraines </t>
    </r>
    <r>
      <rPr>
        <sz val="9"/>
        <color theme="1"/>
        <rFont val="DIN Light"/>
      </rPr>
      <t>et parcs à thèmes</t>
    </r>
  </si>
  <si>
    <t>(new*) 45- Transports routiers réguliers de voyageurs</t>
  </si>
  <si>
    <t>(new*) 46- Autres transports routiers de voyageurs</t>
  </si>
  <si>
    <t>(new*) 53- Traducteurs-interprètes</t>
  </si>
  <si>
    <t>(new*) 54- Prestation et location de chapiteaux, tentes, structures, sonorisation, photographie, lumière et pyrotechnie</t>
  </si>
  <si>
    <t>(new*) 55- Transports de voyageurs par taxis et véhicules de tourisme avec chauffeur</t>
  </si>
  <si>
    <t>(new*) 56- Location de courte durée de voitures et de véhicules automobiles légers</t>
  </si>
  <si>
    <t>(new*) 57- Fabrication de structures métalliques et de parties de structures</t>
  </si>
  <si>
    <t>(new*) 58- Régie publicitaire de médias</t>
  </si>
  <si>
    <t>(new*) 59- Accueils collectifs de mineurs en hébergement touristique</t>
  </si>
  <si>
    <t>3- Pêche en mer</t>
  </si>
  <si>
    <t>4- Pêche en eau douce</t>
  </si>
  <si>
    <t>5- Aquaculture en mer</t>
  </si>
  <si>
    <t>6- Aquaculture en eau douce</t>
  </si>
  <si>
    <t>12- Fabrication de bière</t>
  </si>
  <si>
    <t>13- Production de fromages sous appellation d'origine protégée ou indication géographique protégée</t>
  </si>
  <si>
    <t>14- Fabrication de malt</t>
  </si>
  <si>
    <t>15- Centrales d'achat alimentaires</t>
  </si>
  <si>
    <t>16- Autres intermédiaires du commerce en denrées et boissons</t>
  </si>
  <si>
    <t>17- Commerce de gros de fruits et légumes</t>
  </si>
  <si>
    <t>18- Herboristerie/ horticulture/ commerce de gros de fleurs et plans</t>
  </si>
  <si>
    <t>19- Commerce de gros de produits laitiers, œufs, huiles et matières grasses comestibles</t>
  </si>
  <si>
    <t>20- Commerce de gros de boissons</t>
  </si>
  <si>
    <t>21- Mareyage et commerce de gros de poissons, coquillages, crustacés</t>
  </si>
  <si>
    <t>22- Commerce de gros alimentaire spécialisé divers</t>
  </si>
  <si>
    <t>23- Commerce de gros de produits surgelés</t>
  </si>
  <si>
    <t>24- Commerce de gros alimentaire</t>
  </si>
  <si>
    <t>25- Commerce de gros non spécialisé</t>
  </si>
  <si>
    <t>26- Commerce de gros de textiles</t>
  </si>
  <si>
    <t>27- Intermédiaires spécialisés dans le commerce d'autres produits spécifiques</t>
  </si>
  <si>
    <t>28- Commerce de gros d'habillement et de chaussures</t>
  </si>
  <si>
    <t>29- Commerce de gros d'autres biens domestiques</t>
  </si>
  <si>
    <t>30- Commerce de gros de vaisselle, verrerie et produits d'entretien</t>
  </si>
  <si>
    <t>31- Commerce de gros de fournitures et équipements divers pour le commerce et les services</t>
  </si>
  <si>
    <t>33- Blanchisserie-teinturerie de gros</t>
  </si>
  <si>
    <t>34- Stations-service</t>
  </si>
  <si>
    <t>35- Enregistrement sonore et édition musicale</t>
  </si>
  <si>
    <t>36- Editeurs de livres</t>
  </si>
  <si>
    <t>37- Services auxiliaires des transports aériens</t>
  </si>
  <si>
    <t>38- Services auxiliaires de transport par eau</t>
  </si>
  <si>
    <t>39- Boutique des galeries marchandes et des aéroports</t>
  </si>
  <si>
    <t>40- Autres métiers d'art</t>
  </si>
  <si>
    <t>41- Paris sportifs</t>
  </si>
  <si>
    <t>42- Activités liées à la production de matrices sonores originales, sur bandes, cassettes, CD, la mise à disposition des enregistrements, leur promotion et leur distribution</t>
  </si>
  <si>
    <t>(new***) 69- Culture de la vigne</t>
  </si>
  <si>
    <t>(new***) 71- Fabrication de vins effervescents</t>
  </si>
  <si>
    <t>(new***) 73- Fabrication de cidre et de vins de fruits</t>
  </si>
  <si>
    <t>(new***) 74- Production d’autres boissons fermentées non distillées</t>
  </si>
  <si>
    <t>(new***) 75- Intermédiaire du commerce en vins ayant la qualité d’entrepositaire agréé en application de l’article 302 G du Code Général des Impôts</t>
  </si>
  <si>
    <t>(new***) 76- Commerçant de gros en vins ayant la qualité d’entrepositaire agréé en application de l’article 302 G du Code Général des Impôts</t>
  </si>
  <si>
    <t>(new***) 77- Intermédiaire du commerce en spiritueux exerçant une activité de distillation</t>
  </si>
  <si>
    <t>(new***) 78- Commerçant de gros en spiritueux exerçant une activité de distillation</t>
  </si>
  <si>
    <r>
      <t>1 Culture de plantes à boissons</t>
    </r>
    <r>
      <rPr>
        <b/>
        <sz val="9"/>
        <color rgb="FF70AD47"/>
        <rFont val="DIN Light"/>
      </rPr>
      <t xml:space="preserve"> (new***) (passage en Annexe 1)</t>
    </r>
  </si>
  <si>
    <r>
      <t>8 Fabrication de vins effervescents</t>
    </r>
    <r>
      <rPr>
        <sz val="9"/>
        <color rgb="FF3C3C3C"/>
        <rFont val="DIN Light"/>
      </rPr>
      <t xml:space="preserve"> (new***) </t>
    </r>
    <r>
      <rPr>
        <b/>
        <sz val="9"/>
        <color rgb="FF70AD47"/>
        <rFont val="DIN Light"/>
      </rPr>
      <t>(passage en Annexe 1)</t>
    </r>
  </si>
  <si>
    <r>
      <t>2 Culture de la vigne</t>
    </r>
    <r>
      <rPr>
        <sz val="9"/>
        <color rgb="FF3C3C3C"/>
        <rFont val="DIN Light"/>
      </rPr>
      <t xml:space="preserve"> </t>
    </r>
    <r>
      <rPr>
        <sz val="9"/>
        <color theme="9"/>
        <rFont val="DIN Light"/>
      </rPr>
      <t xml:space="preserve">(new***) </t>
    </r>
    <r>
      <rPr>
        <b/>
        <sz val="9"/>
        <color rgb="FF70AD47"/>
        <rFont val="DIN Light"/>
      </rPr>
      <t>(passage en Annexe 1)</t>
    </r>
  </si>
  <si>
    <r>
      <t xml:space="preserve">7 Production de boissons alcooliques distillées </t>
    </r>
    <r>
      <rPr>
        <strike/>
        <sz val="9"/>
        <color theme="9"/>
        <rFont val="DIN Light"/>
      </rPr>
      <t>(new***)</t>
    </r>
    <r>
      <rPr>
        <strike/>
        <sz val="9"/>
        <color rgb="FF3C3C3C"/>
        <rFont val="DIN Light"/>
      </rPr>
      <t xml:space="preserve"> </t>
    </r>
    <r>
      <rPr>
        <b/>
        <sz val="9"/>
        <color rgb="FF70AD47"/>
        <rFont val="DIN Light"/>
      </rPr>
      <t>(passage en Annexe 1)</t>
    </r>
  </si>
  <si>
    <r>
      <t>9 Vinification</t>
    </r>
    <r>
      <rPr>
        <sz val="9"/>
        <color rgb="FF3C3C3C"/>
        <rFont val="DIN Light"/>
      </rPr>
      <t xml:space="preserve"> </t>
    </r>
    <r>
      <rPr>
        <sz val="9"/>
        <color theme="9"/>
        <rFont val="DIN Light"/>
      </rPr>
      <t xml:space="preserve">(new***) </t>
    </r>
    <r>
      <rPr>
        <b/>
        <sz val="9"/>
        <color rgb="FF70AD47"/>
        <rFont val="DIN Light"/>
      </rPr>
      <t>(passage en Annexe 1)</t>
    </r>
  </si>
  <si>
    <r>
      <t>10 Fabrication de cidre et de vins de fruits</t>
    </r>
    <r>
      <rPr>
        <sz val="9"/>
        <color rgb="FF3C3C3C"/>
        <rFont val="DIN Light"/>
      </rPr>
      <t xml:space="preserve"> </t>
    </r>
    <r>
      <rPr>
        <sz val="9"/>
        <color theme="9"/>
        <rFont val="DIN Light"/>
      </rPr>
      <t xml:space="preserve">(new***) </t>
    </r>
    <r>
      <rPr>
        <b/>
        <sz val="9"/>
        <color theme="9"/>
        <rFont val="DIN Light"/>
      </rPr>
      <t>(</t>
    </r>
    <r>
      <rPr>
        <b/>
        <sz val="9"/>
        <color rgb="FF70AD47"/>
        <rFont val="DIN Light"/>
      </rPr>
      <t>passage en Annexe 1)</t>
    </r>
  </si>
  <si>
    <r>
      <t>11 Production d'autres boissons fermentées non distillées</t>
    </r>
    <r>
      <rPr>
        <sz val="9"/>
        <color theme="9"/>
        <rFont val="DIN Light"/>
      </rPr>
      <t xml:space="preserve"> (new***) </t>
    </r>
    <r>
      <rPr>
        <b/>
        <sz val="9"/>
        <color theme="9"/>
        <rFont val="DIN Light"/>
      </rPr>
      <t>(p</t>
    </r>
    <r>
      <rPr>
        <b/>
        <sz val="9"/>
        <color rgb="FF70AD47"/>
        <rFont val="DIN Light"/>
      </rPr>
      <t>assage en Annexe 1)</t>
    </r>
  </si>
  <si>
    <t>(new**) 80- Ecoles de français langue étrangère</t>
  </si>
  <si>
    <t xml:space="preserve">(new**) 81- Commerce des vêtements de cérémonie, d'accessoires de ganterie et de chapellerie et de costumes pour les grands évènements </t>
  </si>
  <si>
    <t xml:space="preserve">(new**) 82- Articles pour fêtes et divertissements, panoplies et déguisements </t>
  </si>
  <si>
    <t xml:space="preserve">(new**) 83- Commerce de gros de vêtements de travail </t>
  </si>
  <si>
    <t>(new**) 84- Antiquaires</t>
  </si>
  <si>
    <t>(new**) 85- Equipementiers de salles de projection cinématographiques</t>
  </si>
  <si>
    <t>(new**) 86- Edition et diffusion de programmes radios à audience locale, éditions de chaînes de télévision à audience locale</t>
  </si>
  <si>
    <t>(new**) 87- Correspondants locaux de presse</t>
  </si>
  <si>
    <t>(new**) 88- Fabrication de skis, fixations et bâtons pour skis, chaussures de ski</t>
  </si>
  <si>
    <t>(new**) 89- Réparation de chaussures et d'articles en cuir</t>
  </si>
  <si>
    <t>(new*) 32- 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</si>
  <si>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43-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</si>
  <si>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44- Activités de sécurité privée</t>
  </si>
  <si>
    <t>(new*) 45- Nettoyage courant des bâtiments</t>
  </si>
  <si>
    <t>(new*) 46- Autres activités de nettoyage des bâtiments et nettoyage industriel</t>
  </si>
  <si>
    <t>(new*) 47- Fabrication de foie gras</t>
  </si>
  <si>
    <t>(new*) 48- Préparation à caractère artisanal de produits de charcuterie</t>
  </si>
  <si>
    <t>(new*) 49- Pâtisserie</t>
  </si>
  <si>
    <t>(new*) 50- Commerce de détail de viandes et de produits à base de viande en magasin spécialisé</t>
  </si>
  <si>
    <t>(new*) 51- Commerce de détail de viande, produits à base de viandes sur éventaires et marchés</t>
  </si>
  <si>
    <t>(new*) 52- Fabrication de vêtements de travail</t>
  </si>
  <si>
    <t>(new*) 53- Reproduction d'enregistrements</t>
  </si>
  <si>
    <t>(new*) 54- Fabrication de verre creux</t>
  </si>
  <si>
    <t>(new*) 55- Fabrication d'articles céramiques à usage domestique ou ornemental</t>
  </si>
  <si>
    <t>(new*) 56- Fabrication de coutellerie</t>
  </si>
  <si>
    <t>(new*) 57- Fabrication d'articles métalliques ménagers</t>
  </si>
  <si>
    <t>(new*) 58- Fabrication d'appareils ménagers non électriques</t>
  </si>
  <si>
    <t>(new*) 59- Fabrication d'appareils d'éclairage électrique</t>
  </si>
  <si>
    <t>(new*) 60- Travaux d'installation électrique dans tous locaux</t>
  </si>
  <si>
    <t>(new*) 61- Aménagement de lieux de vente</t>
  </si>
  <si>
    <t>(new*) 62- Commerce de détail de fleurs, en pot ou coupées, de compositions florales, de plantes et de graines</t>
  </si>
  <si>
    <t>(new*) 63- Commerce de détail de livres sur éventaires et marchés</t>
  </si>
  <si>
    <t>(new*) 64- Courtier en assurance voyage</t>
  </si>
  <si>
    <t>(new*) 65- Location et exploitation d'immeubles non résidentiels de réception</t>
  </si>
  <si>
    <t>(new*) 66- Conseil en relations publiques et communication</t>
  </si>
  <si>
    <t>(new*) 67- Activités des agences de publicité</t>
  </si>
  <si>
    <t>(new*) 68- Activités spécialisées de design</t>
  </si>
  <si>
    <t>(new*) 69- Activités spécialisées, scientifiques et techniques diverses</t>
  </si>
  <si>
    <t>(new*) 70- Services administratifs d'assistance à la demande de visas</t>
  </si>
  <si>
    <t>(new*) 71- Autre création artistique</t>
  </si>
  <si>
    <t>(new*) 72- Blanchisserie-teinturerie de détail</t>
  </si>
  <si>
    <t>(new*) 73- Construction de maisons mobiles pour les terrains de camping</t>
  </si>
  <si>
    <t>(new*) 74- Fabrication de vêtements de cérémonie, d'accessoires de ganterie et de chapellerie et de costumes pour les grands évènements</t>
  </si>
  <si>
    <t>(new*) 75- Vente par automate</t>
  </si>
  <si>
    <t>(new*) 76- Commerce de gros de viandes et de produits à base de viande</t>
  </si>
  <si>
    <t>(new*) 77- Garde d'animaux de compagnie avec ou sans hébergement</t>
  </si>
  <si>
    <t>(new*) 78- Fabrication de dentelle et broderie</t>
  </si>
  <si>
    <t>(new*) 79- Couturiers</t>
  </si>
  <si>
    <t>(new*)  Activités des agences de placement de main-d'œuvre (new**) supprimé</t>
  </si>
  <si>
    <t>(new*) 92- Fabrication et distribution de matériels scéniques, audiovisuels et évènementiels</t>
  </si>
  <si>
    <t>(new*) 93-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</si>
  <si>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(new*) 94- Activités immobilières, lorsque au moins 50 % du chiffre d'affaires est réalisé avec une ou des entreprises du secteur de l'organisation de foires, d'évènements publics ou privés, de salons ou séminaires professionnels ou de congrès.</t>
  </si>
  <si>
    <t>(new*) 95- Entreprises de transport réalisant au moins 50 % de leur chiffre d'affaires avec une ou des entreprises du secteur de l'organisation de foires, d'évènements publics ou privés, de salons ou séminaires professionnels ou de congrès</t>
  </si>
  <si>
    <t>(new*) 96- Entreprises du numérique réalisant au moins 50 % de leur chiffre d'affaires avec une ou des entreprises du secteur de l'organisation de foires, d'évènements publics ou privés, de salons ou séminaires professionnels ou de congrès</t>
  </si>
  <si>
    <t>(new***) : Activité ajoutée sur le Décret 2021-79 et 129 du 28 Janvier et du 08 Février 2021</t>
  </si>
  <si>
    <t>À cocher en cas de fermeture administrative en Janvier 2021</t>
  </si>
  <si>
    <t>Janvier</t>
  </si>
  <si>
    <t>À cocher en cas de fermeture administrative en Décembre 2020</t>
  </si>
  <si>
    <t>À cocher en cas de fermeture administrative en Novembre 2020</t>
  </si>
  <si>
    <t>* Aide de 15 à 20 % du CA maximum en cas de fermeture Administrative,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</si>
  <si>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L'activité est mentionnées en annexe 3 :</t>
  </si>
  <si>
    <t>À cocher en cas de domiciliation de l'activité dans une commune mentionnée à l'annexe 3 et par l'article 18 du décret 2020-1310 et 3-19 2021-192</t>
  </si>
  <si>
    <t>Février</t>
  </si>
  <si>
    <t>- Février :</t>
  </si>
  <si>
    <t>Aides du fonds de solidarité du mois de Février :</t>
  </si>
  <si>
    <t>* Aide de 1 500 € maximum en cas de perte d'au-moins 50 % du CA de Février 2021</t>
  </si>
  <si>
    <t>De Février 2019 :</t>
  </si>
  <si>
    <t>Ces aides prévues à l'article 3-22 ne sont pas cumulables au titre du mois de Février 2021</t>
  </si>
  <si>
    <t>Fermeture Administrative et 20 % de perte</t>
  </si>
  <si>
    <t>* Aide de 15 à 20 % du CA maximum en cas de fermeture Administrative avec 20 % de perte de CA,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</si>
  <si>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Centre commercial</t>
  </si>
  <si>
    <t>À cocher en cas d'exercice principal dans le commerce de détail avec au moins un des magasins en centre de commercial (&gt; 20 000 m²) avec Fermeture administrative</t>
  </si>
  <si>
    <t>L'activité est mentionnées en annexe 3 ou centre commercial :</t>
  </si>
  <si>
    <t>(New****) 90- Fabrication de bidons de bière métalliques, tonnelets de bières métalliques, fûts de bière métalliques</t>
  </si>
  <si>
    <r>
      <t xml:space="preserve">(new*) 91- Entreprises artisanales </t>
    </r>
    <r>
      <rPr>
        <b/>
        <sz val="9"/>
        <color theme="9"/>
        <rFont val="DIN Light"/>
      </rPr>
      <t>(new***)</t>
    </r>
    <r>
      <rPr>
        <b/>
        <sz val="9"/>
        <color rgb="FF5B9BD5"/>
        <rFont val="DIN Light"/>
      </rPr>
      <t xml:space="preserve"> </t>
    </r>
    <r>
      <rPr>
        <b/>
        <sz val="9"/>
        <color rgb="FF70AD47"/>
        <rFont val="DIN Light"/>
      </rPr>
      <t xml:space="preserve">et commerçants </t>
    </r>
    <r>
      <rPr>
        <b/>
        <sz val="9"/>
        <color rgb="FF5B9BD5"/>
        <rFont val="DIN Light"/>
      </rPr>
      <t>réalisant au moins 50 % de leur chiffre d'affaires par la vente de leurs produits ou services sur les foires et salons</t>
    </r>
  </si>
  <si>
    <t>(new*) 92-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</si>
  <si>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r>
      <t xml:space="preserve">(new*) 98- Fabrication de produits alimentaires lorsque au moins 50 % du chiffre d'affaires est réalisé avec une ou des entreprises </t>
    </r>
    <r>
      <rPr>
        <b/>
        <sz val="9"/>
        <color theme="5"/>
        <rFont val="DIN Light"/>
      </rPr>
      <t xml:space="preserve">(new**) </t>
    </r>
    <r>
      <rPr>
        <b/>
        <strike/>
        <sz val="9"/>
        <color rgb="FFED7D31"/>
        <rFont val="DIN Light"/>
      </rPr>
      <t>du secteur de la restauration</t>
    </r>
    <r>
      <rPr>
        <b/>
        <sz val="9"/>
        <color rgb="FF5B9BD5"/>
        <rFont val="DIN Light"/>
      </rPr>
      <t xml:space="preserve"> </t>
    </r>
    <r>
      <rPr>
        <sz val="9"/>
        <color rgb="FFED7D31"/>
        <rFont val="DIN Light"/>
      </rPr>
      <t>des secteurs de l'évènementiel, de l'hôtellerie ou de la restauration</t>
    </r>
  </si>
  <si>
    <t>(new*) 99- Fabrication d'équipements de cuisines lorsque au moins 50 % du chiffre d'affaires est réalisé avec une ou des entreprises du secteur de la restauration</t>
  </si>
  <si>
    <t>(new*) 100- Installation et maintenance de cuisines lorsque au moins 50 % du chiffre d'affaires est réalisé avec une ou des entreprises du secteur de la restauration</t>
  </si>
  <si>
    <t>(new****) 97- Fabrication de ligne de lit et de table lorsqu’au-moins 50% du chiffre d’affaires est réalisé avec une ou des entreprises du secteur de l’hôtellerie et de la restauration.</t>
  </si>
  <si>
    <t xml:space="preserve">(new*) 101- Elevage de pintades, de canards et d'autres oiseaux (hors volaille) lorsque au moins 50 %
du chiffre d'affaires est réalisé avec une ou des entreprises du secteur de la restauration. </t>
  </si>
  <si>
    <t xml:space="preserve">(new**) 102- Prestations d'accueil lorsque au moins 50 % du chiffre d'affaires est réalisé avec une ou des entreprises du secteur de l'évènementiel </t>
  </si>
  <si>
    <t>(new**) 103- Prestataires d'organisation de mariage lorsque au moins 50 % du chiffre d'affaires est réalisé avec une ou des entreprises du secteur de l'évènementiel ou de la restauration ;</t>
  </si>
  <si>
    <t xml:space="preserve">(new**) 104- Location de vaisselle lorsque au moins 50 % du chiffre d'affaire est réalisé avec une ou des entreprises du secteur de l'organisation de foires, d'évènements publics ou privés, de salons ou séminaires professionnels ou de congrès </t>
  </si>
  <si>
    <t>(new**) 105- Fabrication des nappes et serviettes de fibres de cellulose lorsque au moins 50 % du chiffre d'affaire est réalisé avec une ou des entreprises du secteur de la restauration ;</t>
  </si>
  <si>
    <t>(new**) 106- Collecte des déchets non dangereux lorsque au moins 50 % du chiffre d'affaires est réalisé avec une ou des entreprises du secteur de la restauration</t>
  </si>
  <si>
    <t xml:space="preserve">(new**) 107- Exploitations agricoles des filières dites festives lorsqu'au moins 50 % du chiffre d'affaires est réalisé avec une ou des entreprises du secteur de la restauration ou de la chasse </t>
  </si>
  <si>
    <r>
      <t xml:space="preserve">(new**) 108- </t>
    </r>
    <r>
      <rPr>
        <b/>
        <sz val="9"/>
        <color rgb="FFED7D31"/>
        <rFont val="DIN Light"/>
      </rPr>
      <t>Entreprises de transformation et conservation de poisson, de crustacés et de mollusques des filières dites festives lorsqu'au moins 50 % du chiffre d'affaires est réalisé avec une ou des entreprises du secteur de la restauration</t>
    </r>
  </si>
  <si>
    <t xml:space="preserve">(new**) 109- Activités des agences de presse lorsque au moins 50 % du chiffre d'affaires est réalisé avec une ou des entreprises du secteur de l'évènementiel, du tourisme, du sport ou de la culture </t>
  </si>
  <si>
    <r>
      <t xml:space="preserve">(new**) 110- </t>
    </r>
    <r>
      <rPr>
        <b/>
        <sz val="9"/>
        <color rgb="FFED7D31"/>
        <rFont val="DIN Light"/>
      </rPr>
      <t>Edition de journaux, éditions de revues et périodiques lorsqu'au moins 50 % du chiffre d'affaires est réalisé avec une ou des entreprises du secteur de l'évènementiel, du tourisme, du sport ou de la culture</t>
    </r>
  </si>
  <si>
    <t xml:space="preserve">(new**) 116- Activités des agences de placement de main-d'œuvre lorsque au moins 50 % du chiffre d'affaires est réalisé avec une ou des entreprises du secteur de l'évènementiel, de l'hôtellerie ou de la restauration </t>
  </si>
  <si>
    <t xml:space="preserve">(new**) 117- Activités des agences de travail temporaire lorsque au moins 50 % du chiffre d'affaires est réalisé avec une ou des entreprises du secteur de l'évènementiel, de l'hôtellerie ou de la restauration </t>
  </si>
  <si>
    <t>(new**) 118- Autres mises à disposition de ressources humaines lorsque au moins 50 % du chiffre d'affaires est réalisé avec une ou des entreprises du secteur de l'évènementiel, de l'hôtellerie ou de la restauration</t>
  </si>
  <si>
    <r>
      <t xml:space="preserve">(new**) 119- </t>
    </r>
    <r>
      <rPr>
        <b/>
        <sz val="9"/>
        <color rgb="FFED7D31"/>
        <rFont val="DIN Light"/>
      </rPr>
      <t>Fabrication de meubles de bureau et de magasin lorsqu'au moins 50 % du chiffre d'affaires est réalisé avec une ou des entreprises du secteur de l'hôtellerie ou de la restauration</t>
    </r>
    <r>
      <rPr>
        <sz val="9"/>
        <color rgb="FFED7D31"/>
        <rFont val="DIN Light"/>
      </rPr>
      <t xml:space="preserve"> </t>
    </r>
  </si>
  <si>
    <t>(new***) 120- Commerce de détail d’articles du sport en magasin spécialisé lorsqu’au moins 50 % du chiffre d’affaires est réalisé dans la vente au détail de skis et de chaussures de ski</t>
  </si>
  <si>
    <t>(new***) 121- Fabrication de matériel de levage et de manutention lorsqu’au moins 50 % du chiffre d’affaires est réalisé avec une personne morale qui exploite des remontées mécaniques au sens de l’Art. L342-7 du Code du Tourisme</t>
  </si>
  <si>
    <t>(new***) 122- Fabrication de charpentes et autres menuiseries lorsqu’au moins 50 % du chiffre d’affaires est réalisé avec une personne morale qui exploite des remontées mécaniques au sens de l’Art. L342-7 du Code du Tourisme</t>
  </si>
  <si>
    <t>(new***) 123- Services d’architecture lorsqu’au moins 50 % du chiffre d’affaires est réalisé avec une personne morale qui exploite des remontées mécaniques au sens de l’Art. L342-7 du Code du Tourisme</t>
  </si>
  <si>
    <t>(new***) 124- Activités d’ingénierie lorsqu’au moins 50 % du chiffre d’affaires est réalisé avec une personne morale qui exploite des remontées mécaniques au sens de l’Art. L342-7 du Code du Tourisme</t>
  </si>
  <si>
    <t>(new***) 125- Fabrication d’autres articles en caoutchouc lorsqu’au moins 50 % du chiffre d’affaires est réalisé avec une personne morale qui exploite des remontées mécaniques au sens de l’Art. L342-7 du Code du Tourisme</t>
  </si>
  <si>
    <t>(new***) 126- Réparation de machines et équipements mécaniques lorsqu’au moins 50 % du chiffre d’affaires est réalisé avec une personne morale qui exploite des remontées mécaniques au sens de l’Art. L342-7 du Code du Tourisme</t>
  </si>
  <si>
    <t>(new***) 127- Fabrication d’autres machines d’usage général lorsqu’au moins 50 % du chiffre d’affaires est réalisé avec une personne morale qui exploite des remontées mécaniques au sens de l’Art. L342-7 du Code du Tourisme</t>
  </si>
  <si>
    <t>(new***) 128- Installation de machines et équipements mécaniques lorsqu’au moins 50 % du chiffre d’affaires est réalisé avec une personne morale qui exploite des remontées mécaniques au sens de l’Art. L342-7 du Code du Tourisme</t>
  </si>
  <si>
    <t>(New****) 129 – Commerce de gros de café, thé, cacao et épices lorsqu’au moins 50% du chiffre d’affaires est réalisé
avec une ou des entreprises du secteur de l’hôtellerie ou de la restauration.</t>
  </si>
  <si>
    <t xml:space="preserve">(new**) 111- Entreprises de conseil spécialisées lorsque au moins 50 % du chiffre d'affaires est réalisé avec une ou des entreprises du secteur du sport, (new****) l’évènementiel, du tourisme, ou de la culture
</t>
  </si>
  <si>
    <t>(new**) 112- Commerce de gros (commerce interentreprises) de matériel électrique lorsqu'au moins 50 % du chiffre d'affaires est réalisé avec une ou des entreprises du secteur du sport, (new****)  l’évènementiel, du tourisme, ou de la culture</t>
  </si>
  <si>
    <t>(new**) 113- Activités des agents et courtiers d'assurance lorsque au moins 50 % du chiffre d'affaires est réalisé avec une ou des entreprises du secteur du sport, (new****) l’évènementiel, du tourisme, ou de la culture</t>
  </si>
  <si>
    <t>(new**) 114- Conseils pour les affaires et autres conseils de gestion lorsque au moins 50 % du chiffre d'affaires est réalisé avec une ou des entreprises du secteur du sport, (new****) l’évènementiel, du tourisme, ou de la culture</t>
  </si>
  <si>
    <t>(new**) 115- Etudes de marchés et sondages lorsque au moins 50 % du chiffre d'affaires est réalisé avec une ou des entreprises du secteur du sport, (new****) l’évènementiel, du tourisme, ou de la culture</t>
  </si>
  <si>
    <t>EXPLICATIONS DES AIDES ANNONCÉES 
PAR LE DÉCRET 2020-371</t>
  </si>
  <si>
    <t>À cocher en cas de fermeture administrative en Février 2021</t>
  </si>
  <si>
    <t>(new****) : Activité ajoutée sur le Décret 2021-256 09 Mars 2021</t>
  </si>
  <si>
    <t>* Aide de 10 000 € maximum en cas de fermeture Administrative avec 20 % de perte de CA, ou avoir une perte d'au moins 50 % et être l'une des activités mentionnées en annexe 1, ou en annexe 2 ou 3 ou dans un centre commercial mais avec une perte de CA d'au moins 80 % entre le 15/03/2020 et le 15/05/2020 ou au mois de Novembre 2020 ou une perte de 10 % entre 2019 et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</si>
</sst>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 &quot;€&quot;_-;\-* #,##0\ &quot;€&quot;_-;_-* &quot;-&quot;??\ &quot;€&quot;_-;_-@_-"/>
  </numFmts>
  <fonts count="55">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
      <i/>
      <sz val="8"/>
      <color rgb="FF0D4174"/>
      <name val="Calibri"/>
      <family val="2"/>
      <scheme val="minor"/>
    </font>
    <font>
      <b/>
      <i/>
      <sz val="11"/>
      <color rgb="FF0D4174"/>
      <name val="Calibri"/>
      <family val="2"/>
      <scheme val="minor"/>
    </font>
    <font>
      <i/>
      <sz val="9"/>
      <color rgb="FF0D4174"/>
      <name val="Calibri"/>
      <family val="2"/>
      <scheme val="minor"/>
    </font>
    <font>
      <b/>
      <i/>
      <sz val="22"/>
      <color rgb="FF0D4174"/>
      <name val="Calibri"/>
      <family val="2"/>
      <scheme val="minor"/>
    </font>
    <font>
      <strike/>
      <sz val="9"/>
      <color rgb="FF3C3C3C"/>
      <name val="DIN Light"/>
    </font>
    <font>
      <strike/>
      <sz val="9"/>
      <color rgb="FFED7D31"/>
      <name val="DIN Light"/>
    </font>
    <font>
      <sz val="9"/>
      <color rgb="FFED7D31"/>
      <name val="DIN Light"/>
    </font>
    <font>
      <sz val="9"/>
      <color rgb="FF70AD47"/>
      <name val="DIN Light"/>
    </font>
    <font>
      <sz val="9"/>
      <color theme="5"/>
      <name val="DIN Light"/>
    </font>
    <font>
      <sz val="9"/>
      <color theme="9"/>
      <name val="DIN Light"/>
    </font>
    <font>
      <sz val="9"/>
      <color theme="4"/>
      <name val="DIN Light"/>
    </font>
    <font>
      <b/>
      <sz val="9"/>
      <color rgb="FF70AD47"/>
      <name val="DIN Light"/>
    </font>
    <font>
      <b/>
      <sz val="9"/>
      <color rgb="FF5B9BD5"/>
      <name val="DIN Light"/>
    </font>
    <font>
      <b/>
      <strike/>
      <sz val="9"/>
      <color rgb="FFED7D31"/>
      <name val="DIN Light"/>
    </font>
    <font>
      <b/>
      <sz val="9"/>
      <color rgb="FFED7D31"/>
      <name val="DIN Light"/>
    </font>
    <font>
      <b/>
      <sz val="9"/>
      <color theme="5"/>
      <name val="DIN Light"/>
    </font>
    <font>
      <b/>
      <sz val="9"/>
      <color theme="9"/>
      <name val="DIN Light"/>
    </font>
    <font>
      <strike/>
      <sz val="9"/>
      <color theme="9"/>
      <name val="DIN Light"/>
    </font>
    <font>
      <sz val="11"/>
      <color rgb="FF7030A0"/>
      <name val="Calibri"/>
      <family val="2"/>
      <scheme val="minor"/>
    </font>
    <font>
      <b/>
      <strike/>
      <sz val="9"/>
      <color rgb="FF5B9BD5"/>
      <name val="DIN Light"/>
    </font>
  </fonts>
  <fills count="6">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452">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15" fillId="0" borderId="0" xfId="0" applyFont="1" applyAlignment="1">
      <alignment horizontal="left"/>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0" fillId="0" borderId="0" xfId="0" applyNumberFormat="1"/>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27" fillId="0" borderId="0" xfId="0" applyFont="1" applyAlignment="1">
      <alignment horizontal="left"/>
    </xf>
    <xf numFmtId="0" fontId="21" fillId="0" borderId="15" xfId="0" applyFont="1" applyBorder="1" applyAlignment="1">
      <alignment horizontal="left"/>
    </xf>
    <xf numFmtId="0" fontId="12" fillId="0" borderId="15" xfId="0" applyFont="1" applyBorder="1" applyAlignment="1">
      <alignment horizontal="left"/>
    </xf>
    <xf numFmtId="0" fontId="24" fillId="0" borderId="15" xfId="0" applyFont="1" applyBorder="1"/>
    <xf numFmtId="0" fontId="12" fillId="0" borderId="9" xfId="0" applyFont="1" applyBorder="1" applyAlignment="1">
      <alignment horizontal="left" vertical="top"/>
    </xf>
    <xf numFmtId="0" fontId="12" fillId="0" borderId="0" xfId="0" applyFont="1" applyBorder="1" applyAlignment="1">
      <alignment horizontal="left" vertical="top"/>
    </xf>
    <xf numFmtId="0" fontId="15" fillId="0" borderId="0" xfId="0" applyFont="1" applyAlignment="1">
      <alignment horizontal="right"/>
    </xf>
    <xf numFmtId="0" fontId="15" fillId="0" borderId="0" xfId="0" quotePrefix="1" applyFont="1" applyAlignment="1">
      <alignment horizontal="left" vertical="top" wrapText="1"/>
    </xf>
    <xf numFmtId="0" fontId="15" fillId="0" borderId="0" xfId="0" applyFont="1" applyBorder="1" applyAlignment="1">
      <alignment horizontal="left" vertical="center" wrapText="1"/>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0" xfId="0" applyBorder="1" applyAlignment="1">
      <alignment horizontal="center"/>
    </xf>
    <xf numFmtId="0" fontId="15" fillId="0" borderId="0" xfId="0" applyFont="1" applyBorder="1" applyAlignment="1">
      <alignment horizontal="left" vertical="top"/>
    </xf>
    <xf numFmtId="0" fontId="15" fillId="0" borderId="0" xfId="0" applyFont="1" applyAlignment="1">
      <alignment horizontal="left" vertical="top" wrapText="1"/>
    </xf>
    <xf numFmtId="0" fontId="36" fillId="0" borderId="0" xfId="0" applyFont="1" applyAlignment="1">
      <alignment horizontal="left" wrapText="1"/>
    </xf>
    <xf numFmtId="0" fontId="14" fillId="0" borderId="0" xfId="0" applyFont="1" applyAlignment="1">
      <alignment horizontal="left"/>
    </xf>
    <xf numFmtId="0" fontId="15" fillId="0" borderId="0" xfId="0" applyFont="1" applyBorder="1" applyAlignment="1">
      <alignment horizontal="left" vertical="center" wrapText="1"/>
    </xf>
    <xf numFmtId="0" fontId="15" fillId="0" borderId="0" xfId="0" applyFont="1" applyAlignment="1">
      <alignment horizontal="left" vertical="top" wrapText="1"/>
    </xf>
    <xf numFmtId="0" fontId="0" fillId="0" borderId="9" xfId="0" applyFill="1" applyBorder="1"/>
    <xf numFmtId="0" fontId="15" fillId="0" borderId="9" xfId="0" applyFont="1" applyBorder="1" applyAlignment="1">
      <alignment horizontal="left" vertical="top" wrapText="1"/>
    </xf>
    <xf numFmtId="0" fontId="0" fillId="5" borderId="0" xfId="0" applyFill="1"/>
    <xf numFmtId="0" fontId="0" fillId="5" borderId="9" xfId="0" applyFill="1" applyBorder="1"/>
    <xf numFmtId="0" fontId="12" fillId="5" borderId="9" xfId="0" applyFont="1" applyFill="1" applyBorder="1"/>
    <xf numFmtId="0" fontId="14" fillId="0" borderId="9" xfId="0" applyFont="1" applyBorder="1" applyAlignment="1">
      <alignment horizontal="left"/>
    </xf>
    <xf numFmtId="0" fontId="0" fillId="0" borderId="0" xfId="0" applyFont="1"/>
    <xf numFmtId="0" fontId="0" fillId="0" borderId="0" xfId="0" applyFont="1" applyFill="1"/>
    <xf numFmtId="0" fontId="39" fillId="0" borderId="0" xfId="0" applyFont="1" applyFill="1" applyAlignment="1">
      <alignment vertical="center"/>
    </xf>
    <xf numFmtId="0" fontId="9" fillId="0" borderId="0" xfId="0" applyFont="1" applyFill="1" applyAlignment="1">
      <alignment vertical="center"/>
    </xf>
    <xf numFmtId="0" fontId="40"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indent="5"/>
    </xf>
    <xf numFmtId="0" fontId="15" fillId="0" borderId="0" xfId="0" applyFont="1" applyBorder="1" applyAlignment="1">
      <alignment horizontal="left" vertical="center" wrapText="1"/>
    </xf>
    <xf numFmtId="0" fontId="13" fillId="0" borderId="0" xfId="0" applyFont="1" applyBorder="1" applyAlignment="1">
      <alignment horizontal="center" vertical="center" wrapText="1"/>
    </xf>
    <xf numFmtId="0" fontId="15" fillId="0" borderId="0" xfId="0" applyFont="1" applyAlignment="1">
      <alignment vertical="top" wrapText="1"/>
    </xf>
    <xf numFmtId="0" fontId="9" fillId="0" borderId="0" xfId="0" applyFont="1" applyAlignment="1">
      <alignment vertical="center"/>
    </xf>
    <xf numFmtId="0" fontId="41" fillId="2" borderId="0" xfId="0" applyFont="1" applyFill="1" applyAlignment="1">
      <alignment vertical="center"/>
    </xf>
    <xf numFmtId="0" fontId="42" fillId="0" borderId="0" xfId="0" applyFont="1" applyAlignment="1">
      <alignment vertical="center"/>
    </xf>
    <xf numFmtId="0" fontId="10" fillId="0" borderId="0" xfId="3" applyFill="1" applyAlignment="1">
      <alignment vertical="center"/>
    </xf>
    <xf numFmtId="0" fontId="10" fillId="0" borderId="0" xfId="3" applyFill="1"/>
    <xf numFmtId="0" fontId="34" fillId="0" borderId="0" xfId="0" applyFont="1" applyFill="1" applyAlignment="1">
      <alignment vertical="center"/>
    </xf>
    <xf numFmtId="0" fontId="47" fillId="0" borderId="0" xfId="0" applyFont="1" applyFill="1" applyAlignment="1">
      <alignment horizontal="left" vertical="center" indent="5"/>
    </xf>
    <xf numFmtId="0" fontId="47" fillId="0" borderId="0" xfId="0" applyFont="1" applyFill="1"/>
    <xf numFmtId="0" fontId="41" fillId="0" borderId="0" xfId="0" applyFont="1" applyFill="1" applyAlignment="1">
      <alignment horizontal="left" vertical="center" indent="5"/>
    </xf>
    <xf numFmtId="0" fontId="12" fillId="0" borderId="0" xfId="0" applyFont="1" applyAlignment="1">
      <alignment horizontal="left"/>
    </xf>
    <xf numFmtId="0" fontId="31" fillId="0" borderId="0" xfId="0" applyFont="1" applyFill="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27" fillId="0" borderId="0" xfId="0" applyFont="1" applyAlignment="1">
      <alignment horizontal="lef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1" fillId="0" borderId="0" xfId="0" applyFont="1" applyFill="1" applyAlignment="1">
      <alignment horizontal="center"/>
    </xf>
    <xf numFmtId="0" fontId="14" fillId="0" borderId="0" xfId="0" applyFont="1" applyAlignment="1">
      <alignment horizontal="left"/>
    </xf>
    <xf numFmtId="0" fontId="37" fillId="0" borderId="0" xfId="0" applyFont="1"/>
    <xf numFmtId="0" fontId="53" fillId="0" borderId="0" xfId="0" applyFont="1"/>
    <xf numFmtId="0" fontId="54" fillId="0" borderId="0" xfId="0" applyFont="1" applyFill="1" applyAlignment="1">
      <alignment horizontal="left" vertical="center" indent="5"/>
    </xf>
    <xf numFmtId="0" fontId="47" fillId="0" borderId="0" xfId="0" applyFont="1" applyFill="1" applyAlignment="1">
      <alignment horizontal="left"/>
    </xf>
    <xf numFmtId="0" fontId="53" fillId="0" borderId="0" xfId="0" applyFont="1" applyFill="1" applyAlignment="1">
      <alignment wrapText="1"/>
    </xf>
    <xf numFmtId="0" fontId="41" fillId="0" borderId="0" xfId="0" applyFont="1" applyFill="1" applyAlignment="1">
      <alignment horizontal="left" vertical="top" wrapText="1" indent="5"/>
    </xf>
    <xf numFmtId="0" fontId="12" fillId="0" borderId="0" xfId="0" applyFont="1" applyBorder="1" applyAlignment="1">
      <alignment horizontal="left" vertical="top"/>
    </xf>
    <xf numFmtId="0" fontId="12"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left" vertical="center" wrapText="1"/>
    </xf>
    <xf numFmtId="0" fontId="0" fillId="0" borderId="7" xfId="0"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0" fillId="0" borderId="0" xfId="0" applyFill="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0" xfId="0" applyBorder="1" applyAlignment="1">
      <alignment horizontal="center"/>
    </xf>
    <xf numFmtId="0" fontId="15" fillId="0" borderId="0" xfId="0" applyFont="1" applyAlignment="1">
      <alignment vertical="top" wrapText="1"/>
    </xf>
    <xf numFmtId="0" fontId="0" fillId="0" borderId="0" xfId="0" applyAlignment="1">
      <alignment horizontal="center"/>
    </xf>
    <xf numFmtId="0" fontId="30" fillId="0" borderId="0" xfId="0" applyFont="1" applyFill="1" applyBorder="1" applyAlignment="1">
      <alignment horizontal="right" wrapText="1"/>
    </xf>
    <xf numFmtId="0" fontId="12" fillId="0" borderId="0" xfId="0" applyFont="1" applyAlignment="1">
      <alignment horizontal="left"/>
    </xf>
    <xf numFmtId="0" fontId="15" fillId="0" borderId="0" xfId="0" applyFont="1" applyAlignment="1">
      <alignment horizontal="left"/>
    </xf>
    <xf numFmtId="0" fontId="15" fillId="0" borderId="0" xfId="0" quotePrefix="1" applyFont="1" applyAlignment="1">
      <alignment horizontal="left"/>
    </xf>
    <xf numFmtId="0" fontId="11" fillId="3" borderId="14" xfId="0" applyFont="1" applyFill="1" applyBorder="1" applyAlignment="1">
      <alignment horizontal="center"/>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5" fillId="0" borderId="0" xfId="0" quotePrefix="1" applyFont="1" applyAlignment="1">
      <alignment horizontal="left" vertical="top" wrapText="1"/>
    </xf>
    <xf numFmtId="0" fontId="15" fillId="0" borderId="15" xfId="0" quotePrefix="1" applyFont="1" applyBorder="1" applyAlignment="1">
      <alignment horizontal="left" vertical="top" wrapText="1"/>
    </xf>
    <xf numFmtId="0" fontId="12" fillId="0" borderId="0" xfId="0" applyFont="1" applyAlignment="1">
      <alignment horizontal="right"/>
    </xf>
    <xf numFmtId="0" fontId="37" fillId="0" borderId="0" xfId="0" applyFont="1" applyAlignment="1">
      <alignment horizontal="right"/>
    </xf>
    <xf numFmtId="0" fontId="14" fillId="0" borderId="0" xfId="0" applyFont="1" applyAlignment="1">
      <alignment horizontal="left"/>
    </xf>
    <xf numFmtId="0" fontId="14" fillId="0" borderId="0" xfId="0" applyFont="1" applyAlignment="1">
      <alignment horizontal="left" vertical="top"/>
    </xf>
    <xf numFmtId="0" fontId="12" fillId="0" borderId="0" xfId="0" applyFont="1" applyAlignment="1">
      <alignment horizontal="center"/>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2" fillId="0" borderId="0" xfId="0" applyFont="1" applyBorder="1" applyAlignment="1">
      <alignment horizontal="left" vertical="top"/>
    </xf>
    <xf numFmtId="0" fontId="12" fillId="0" borderId="0" xfId="0" applyFont="1" applyBorder="1" applyAlignment="1">
      <alignment horizontal="right"/>
    </xf>
    <xf numFmtId="0" fontId="24" fillId="0" borderId="37" xfId="0" applyFont="1" applyBorder="1" applyAlignment="1" applyProtection="1">
      <alignment horizontal="center" vertical="top" wrapText="1"/>
      <protection locked="0"/>
    </xf>
    <xf numFmtId="0" fontId="24" fillId="0" borderId="0" xfId="0" applyFont="1" applyBorder="1" applyAlignment="1" applyProtection="1">
      <alignment horizontal="center" vertical="top" wrapText="1"/>
      <protection locked="0"/>
    </xf>
    <xf numFmtId="0" fontId="24" fillId="0" borderId="15" xfId="0" applyFont="1" applyBorder="1" applyAlignment="1" applyProtection="1">
      <alignment horizontal="center" vertical="top" wrapText="1"/>
      <protection locked="0"/>
    </xf>
    <xf numFmtId="0" fontId="24" fillId="0" borderId="37"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14" fontId="24" fillId="0" borderId="37" xfId="0" applyNumberFormat="1" applyFont="1" applyBorder="1" applyAlignment="1" applyProtection="1">
      <alignment horizontal="left" vertical="top" wrapText="1"/>
      <protection locked="0"/>
    </xf>
    <xf numFmtId="14" fontId="24" fillId="0" borderId="0" xfId="0" applyNumberFormat="1" applyFont="1" applyBorder="1" applyAlignment="1" applyProtection="1">
      <alignment horizontal="left" vertical="top" wrapText="1"/>
      <protection locked="0"/>
    </xf>
    <xf numFmtId="14" fontId="24" fillId="0" borderId="15" xfId="0" applyNumberFormat="1" applyFont="1" applyBorder="1" applyAlignment="1" applyProtection="1">
      <alignment horizontal="left" vertical="top" wrapText="1"/>
      <protection locked="0"/>
    </xf>
    <xf numFmtId="0" fontId="15" fillId="0" borderId="0" xfId="0" applyFont="1" applyBorder="1" applyAlignment="1">
      <alignment horizontal="left"/>
    </xf>
    <xf numFmtId="0" fontId="15" fillId="0" borderId="0" xfId="0" applyFont="1" applyBorder="1" applyAlignment="1">
      <alignment horizontal="right"/>
    </xf>
    <xf numFmtId="0" fontId="11" fillId="3" borderId="0" xfId="0" applyFont="1" applyFill="1" applyAlignment="1">
      <alignment horizontal="center"/>
    </xf>
    <xf numFmtId="0" fontId="15" fillId="0" borderId="0" xfId="0" applyFont="1" applyAlignment="1">
      <alignment horizontal="right"/>
    </xf>
    <xf numFmtId="0" fontId="31" fillId="0" borderId="0" xfId="0" applyFont="1" applyAlignment="1">
      <alignment horizontal="left" vertical="top"/>
    </xf>
    <xf numFmtId="0" fontId="31" fillId="0" borderId="0" xfId="0" applyFont="1" applyFill="1" applyAlignment="1">
      <alignment horizontal="left" vertical="top" wrapText="1"/>
    </xf>
    <xf numFmtId="0" fontId="35" fillId="0" borderId="0" xfId="0" applyFont="1" applyAlignment="1">
      <alignment horizontal="left" vertical="center" wrapText="1"/>
    </xf>
    <xf numFmtId="0" fontId="11" fillId="3" borderId="0" xfId="3" quotePrefix="1" applyFont="1" applyFill="1" applyAlignment="1">
      <alignment horizontal="left" vertical="center" wrapText="1"/>
    </xf>
    <xf numFmtId="0" fontId="14" fillId="0" borderId="0" xfId="0" applyFont="1" applyAlignment="1">
      <alignment horizontal="left"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4" fillId="0" borderId="37" xfId="0" applyFont="1" applyBorder="1" applyAlignment="1">
      <alignment horizontal="center" vertical="top"/>
    </xf>
    <xf numFmtId="0" fontId="14" fillId="0" borderId="0" xfId="0" applyFont="1" applyBorder="1" applyAlignment="1">
      <alignment horizontal="center" vertical="top"/>
    </xf>
    <xf numFmtId="0" fontId="31" fillId="0" borderId="18" xfId="0" applyFont="1" applyBorder="1" applyAlignment="1">
      <alignment horizontal="left" vertical="top"/>
    </xf>
    <xf numFmtId="0" fontId="12" fillId="0" borderId="0" xfId="0" applyFont="1" applyBorder="1" applyAlignment="1">
      <alignment horizontal="left" vertical="top" wrapText="1"/>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24" xfId="0" applyFont="1" applyFill="1" applyBorder="1" applyAlignment="1" applyProtection="1">
      <alignment horizontal="center" vertical="center"/>
      <protection locked="0"/>
    </xf>
    <xf numFmtId="0" fontId="13" fillId="5" borderId="25" xfId="0" applyFont="1" applyFill="1" applyBorder="1" applyAlignment="1" applyProtection="1">
      <alignment horizontal="center" vertical="center"/>
      <protection locked="0"/>
    </xf>
    <xf numFmtId="0" fontId="13" fillId="5" borderId="9"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protection locked="0"/>
    </xf>
    <xf numFmtId="14" fontId="12" fillId="5" borderId="21" xfId="0" applyNumberFormat="1" applyFont="1" applyFill="1" applyBorder="1" applyAlignment="1" applyProtection="1">
      <alignment horizontal="center"/>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protection locked="0"/>
    </xf>
    <xf numFmtId="0" fontId="12" fillId="5" borderId="21" xfId="0" applyFont="1" applyFill="1" applyBorder="1" applyAlignment="1" applyProtection="1">
      <alignment horizontal="center"/>
      <protection locked="0"/>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0" quotePrefix="1" applyFont="1" applyFill="1" applyBorder="1" applyAlignment="1">
      <alignment horizontal="left"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35" fillId="0" borderId="0" xfId="0" applyFont="1" applyBorder="1" applyAlignment="1">
      <alignment horizontal="left" vertical="top"/>
    </xf>
    <xf numFmtId="0" fontId="14" fillId="0" borderId="0" xfId="0" applyFont="1" applyAlignment="1">
      <alignment horizontal="left" vertical="top" wrapText="1"/>
    </xf>
    <xf numFmtId="0" fontId="35" fillId="0" borderId="0" xfId="0" applyFont="1" applyAlignment="1">
      <alignment horizontal="left" vertical="top"/>
    </xf>
    <xf numFmtId="0" fontId="12" fillId="0" borderId="0" xfId="0" applyFont="1" applyBorder="1" applyAlignment="1">
      <alignment horizontal="left"/>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0" fillId="0" borderId="0" xfId="0" applyFill="1" applyBorder="1" applyAlignment="1">
      <alignment horizontal="right" vertical="center"/>
    </xf>
    <xf numFmtId="0" fontId="0" fillId="0" borderId="7" xfId="0" applyBorder="1" applyAlignment="1">
      <alignment horizontal="right"/>
    </xf>
    <xf numFmtId="0" fontId="0" fillId="0" borderId="0" xfId="0" applyBorder="1" applyAlignment="1">
      <alignment horizontal="right"/>
    </xf>
    <xf numFmtId="0" fontId="37" fillId="0" borderId="12" xfId="0" applyFont="1" applyBorder="1" applyAlignment="1">
      <alignment horizontal="left" vertical="top" wrapText="1"/>
    </xf>
    <xf numFmtId="0" fontId="15" fillId="0" borderId="12" xfId="0" applyFont="1" applyBorder="1" applyAlignment="1">
      <alignment horizontal="left" vertical="top" wrapText="1"/>
    </xf>
    <xf numFmtId="0" fontId="38" fillId="5" borderId="0" xfId="0" applyFont="1" applyFill="1" applyBorder="1" applyAlignment="1">
      <alignment horizontal="center" vertical="center"/>
    </xf>
    <xf numFmtId="0" fontId="38" fillId="5" borderId="9" xfId="0" applyFont="1" applyFill="1" applyBorder="1" applyAlignment="1">
      <alignment horizontal="center" vertical="center"/>
    </xf>
    <xf numFmtId="0" fontId="15" fillId="0" borderId="0" xfId="0" applyFont="1" applyBorder="1" applyAlignment="1">
      <alignment horizontal="left" vertical="top" wrapText="1"/>
    </xf>
    <xf numFmtId="0" fontId="27" fillId="0" borderId="0" xfId="0" applyFont="1" applyAlignment="1">
      <alignment horizontal="left"/>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xf>
    <xf numFmtId="0" fontId="27" fillId="0" borderId="0" xfId="0" applyFont="1" applyAlignment="1">
      <alignment horizontal="left" vertical="top" wrapText="1"/>
    </xf>
    <xf numFmtId="0" fontId="30" fillId="0" borderId="0" xfId="0" applyFont="1" applyFill="1" applyBorder="1" applyAlignment="1">
      <alignment horizontal="right"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3" xfId="0" quotePrefix="1" applyFont="1" applyBorder="1" applyAlignment="1">
      <alignment horizontal="center" vertical="center" wrapText="1"/>
    </xf>
    <xf numFmtId="0" fontId="30" fillId="0" borderId="0" xfId="0" applyFont="1" applyFill="1" applyBorder="1" applyAlignment="1">
      <alignment horizontal="right" vertical="center"/>
    </xf>
    <xf numFmtId="0" fontId="30" fillId="0" borderId="7" xfId="0" applyFont="1" applyFill="1" applyBorder="1" applyAlignment="1">
      <alignment horizontal="right"/>
    </xf>
    <xf numFmtId="0" fontId="30" fillId="0" borderId="0" xfId="0" applyFont="1" applyFill="1" applyBorder="1" applyAlignment="1">
      <alignment horizontal="right"/>
    </xf>
    <xf numFmtId="0" fontId="27" fillId="0" borderId="0" xfId="0" applyFont="1" applyAlignment="1">
      <alignment horizontal="left" wrapText="1"/>
    </xf>
    <xf numFmtId="0" fontId="19" fillId="5" borderId="0" xfId="0" applyFont="1" applyFill="1" applyAlignment="1">
      <alignment horizontal="left"/>
    </xf>
    <xf numFmtId="0" fontId="15" fillId="0" borderId="0" xfId="0" applyFont="1" applyAlignment="1">
      <alignment horizontal="left" wrapText="1"/>
    </xf>
    <xf numFmtId="0" fontId="0" fillId="0" borderId="7" xfId="0" applyFill="1" applyBorder="1" applyAlignment="1">
      <alignment horizontal="right"/>
    </xf>
    <xf numFmtId="0" fontId="22" fillId="3" borderId="0" xfId="0" applyFont="1" applyFill="1" applyAlignment="1">
      <alignment horizontal="center" vertical="center" wrapText="1"/>
    </xf>
    <xf numFmtId="0" fontId="17" fillId="3" borderId="0" xfId="0" applyFont="1" applyFill="1" applyAlignment="1">
      <alignment horizontal="left"/>
    </xf>
    <xf numFmtId="0" fontId="17" fillId="3" borderId="0" xfId="0" applyFont="1" applyFill="1" applyAlignment="1">
      <alignment horizontal="left" wrapText="1"/>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0" fillId="0" borderId="0" xfId="0" applyBorder="1" applyAlignment="1">
      <alignment horizont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0" fillId="0" borderId="7" xfId="0" applyFill="1" applyBorder="1" applyAlignment="1">
      <alignment horizontal="right" vertical="center"/>
    </xf>
    <xf numFmtId="0" fontId="15" fillId="0" borderId="0" xfId="0" applyFont="1" applyAlignment="1">
      <alignment vertical="top" wrapText="1"/>
    </xf>
    <xf numFmtId="0" fontId="0" fillId="0" borderId="0" xfId="0" applyBorder="1" applyAlignment="1">
      <alignment horizontal="right" vertical="center"/>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0" borderId="0" xfId="0" applyAlignment="1">
      <alignment horizontal="center"/>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0D4174"/>
      <color rgb="FFFAC230"/>
      <color rgb="FF8EC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16" fmlaLink="Annexes!$F$5" fmlaRange="Annexes!$B$4:$B$85" noThreeD="1" sel="1" val="0"/>
</file>

<file path=xl/ctrlProps/ctrlProp10.xml><?xml version="1.0" encoding="utf-8"?>
<formControlPr xmlns="http://schemas.microsoft.com/office/spreadsheetml/2009/9/main" objectType="CheckBox" fmlaLink="Annexes!$M$15" lockText="1" noThreeD="1"/>
</file>

<file path=xl/ctrlProps/ctrlProp11.xml><?xml version="1.0" encoding="utf-8"?>
<formControlPr xmlns="http://schemas.microsoft.com/office/spreadsheetml/2009/9/main" objectType="CheckBox" fmlaLink="Annexes!$M$17" lockText="1" noThreeD="1"/>
</file>

<file path=xl/ctrlProps/ctrlProp12.xml><?xml version="1.0" encoding="utf-8"?>
<formControlPr xmlns="http://schemas.microsoft.com/office/spreadsheetml/2009/9/main" objectType="CheckBox" fmlaLink="Annexes!$M$19" lockText="1" noThreeD="1"/>
</file>

<file path=xl/ctrlProps/ctrlProp2.xml><?xml version="1.0" encoding="utf-8"?>
<formControlPr xmlns="http://schemas.microsoft.com/office/spreadsheetml/2009/9/main" objectType="Drop" dropStyle="combo" dx="16" fmlaLink="Annexes!$F$7" fmlaRange="Annexes!$D$4:$D$141" noThreeD="1" sel="1" val="0"/>
</file>

<file path=xl/ctrlProps/ctrlProp3.xml><?xml version="1.0" encoding="utf-8"?>
<formControlPr xmlns="http://schemas.microsoft.com/office/spreadsheetml/2009/9/main" objectType="CheckBox" fmlaLink="Annexes!$M$5" lockText="1" noThreeD="1"/>
</file>

<file path=xl/ctrlProps/ctrlProp4.xml><?xml version="1.0" encoding="utf-8"?>
<formControlPr xmlns="http://schemas.microsoft.com/office/spreadsheetml/2009/9/main" objectType="CheckBox" fmlaLink="Annexes!$M$9" lockText="1" noThreeD="1"/>
</file>

<file path=xl/ctrlProps/ctrlProp5.xml><?xml version="1.0" encoding="utf-8"?>
<formControlPr xmlns="http://schemas.microsoft.com/office/spreadsheetml/2009/9/main" objectType="Drop" dropStyle="combo" dx="16" fmlaLink="Annexes!$O$5" fmlaRange="Annexes!$I$4:$I$10" noThreeD="1" sel="1" val="0"/>
</file>

<file path=xl/ctrlProps/ctrlProp6.xml><?xml version="1.0" encoding="utf-8"?>
<formControlPr xmlns="http://schemas.microsoft.com/office/spreadsheetml/2009/9/main" objectType="Drop" dropStyle="combo" dx="16" fmlaLink="Annexes!$Q$5" fmlaRange="Annexes!$J$4:$J$35" noThreeD="1" sel="1" val="0"/>
</file>

<file path=xl/ctrlProps/ctrlProp7.xml><?xml version="1.0" encoding="utf-8"?>
<formControlPr xmlns="http://schemas.microsoft.com/office/spreadsheetml/2009/9/main" objectType="CheckBox" fmlaLink="Annexes!$M$7" lockText="1" noThreeD="1"/>
</file>

<file path=xl/ctrlProps/ctrlProp8.xml><?xml version="1.0" encoding="utf-8"?>
<formControlPr xmlns="http://schemas.microsoft.com/office/spreadsheetml/2009/9/main" objectType="CheckBox" fmlaLink="Annexes!$M$11" lockText="1" noThreeD="1"/>
</file>

<file path=xl/ctrlProps/ctrlProp9.xml><?xml version="1.0" encoding="utf-8"?>
<formControlPr xmlns="http://schemas.microsoft.com/office/spreadsheetml/2009/9/main" objectType="CheckBox" fmlaLink="Annexes!$M$1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8.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666750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676275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9</xdr:col>
          <xdr:colOff>542925</xdr:colOff>
          <xdr:row>32</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9525</xdr:rowOff>
        </xdr:from>
        <xdr:to>
          <xdr:col>9</xdr:col>
          <xdr:colOff>542925</xdr:colOff>
          <xdr:row>29</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34</xdr:row>
          <xdr:rowOff>180975</xdr:rowOff>
        </xdr:from>
        <xdr:to>
          <xdr:col>12</xdr:col>
          <xdr:colOff>800100</xdr:colOff>
          <xdr:row>36</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xmlns=""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35</xdr:row>
          <xdr:rowOff>9525</xdr:rowOff>
        </xdr:from>
        <xdr:to>
          <xdr:col>15</xdr:col>
          <xdr:colOff>790575</xdr:colOff>
          <xdr:row>36</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xmlns=""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9525</xdr:rowOff>
        </xdr:from>
        <xdr:to>
          <xdr:col>9</xdr:col>
          <xdr:colOff>571500</xdr:colOff>
          <xdr:row>44</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27</xdr:row>
      <xdr:rowOff>142875</xdr:rowOff>
    </xdr:from>
    <xdr:to>
      <xdr:col>29</xdr:col>
      <xdr:colOff>294775</xdr:colOff>
      <xdr:row>78</xdr:row>
      <xdr:rowOff>8436</xdr:rowOff>
    </xdr:to>
    <xdr:pic>
      <xdr:nvPicPr>
        <xdr:cNvPr id="12" name="Image 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29</xdr:row>
      <xdr:rowOff>57149</xdr:rowOff>
    </xdr:from>
    <xdr:to>
      <xdr:col>25</xdr:col>
      <xdr:colOff>238126</xdr:colOff>
      <xdr:row>39</xdr:row>
      <xdr:rowOff>28573</xdr:rowOff>
    </xdr:to>
    <xdr:sp macro="" textlink="">
      <xdr:nvSpPr>
        <xdr:cNvPr id="16" name="Bulle ronde 15">
          <a:extLst>
            <a:ext uri="{FF2B5EF4-FFF2-40B4-BE49-F238E27FC236}">
              <a16:creationId xmlns:a16="http://schemas.microsoft.com/office/drawing/2014/main" xmlns=""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304798</xdr:colOff>
      <xdr:row>27</xdr:row>
      <xdr:rowOff>133348</xdr:rowOff>
    </xdr:from>
    <xdr:to>
      <xdr:col>2</xdr:col>
      <xdr:colOff>19049</xdr:colOff>
      <xdr:row>52</xdr:row>
      <xdr:rowOff>152400</xdr:rowOff>
    </xdr:to>
    <xdr:sp macro="" textlink="">
      <xdr:nvSpPr>
        <xdr:cNvPr id="2" name="Accolade ouvrante 1">
          <a:extLst>
            <a:ext uri="{FF2B5EF4-FFF2-40B4-BE49-F238E27FC236}">
              <a16:creationId xmlns:a16="http://schemas.microsoft.com/office/drawing/2014/main" xmlns="" id="{00000000-0008-0000-0000-000002000000}"/>
            </a:ext>
          </a:extLst>
        </xdr:cNvPr>
        <xdr:cNvSpPr/>
      </xdr:nvSpPr>
      <xdr:spPr>
        <a:xfrm>
          <a:off x="914398" y="5105398"/>
          <a:ext cx="228601" cy="325755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29</xdr:row>
      <xdr:rowOff>9525</xdr:rowOff>
    </xdr:from>
    <xdr:to>
      <xdr:col>1</xdr:col>
      <xdr:colOff>457200</xdr:colOff>
      <xdr:row>31</xdr:row>
      <xdr:rowOff>161925</xdr:rowOff>
    </xdr:to>
    <xdr:pic>
      <xdr:nvPicPr>
        <xdr:cNvPr id="4" name="Imag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5181600"/>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9</xdr:col>
          <xdr:colOff>571500</xdr:colOff>
          <xdr:row>46</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10</xdr:col>
          <xdr:colOff>47625</xdr:colOff>
          <xdr:row>24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9</xdr:col>
          <xdr:colOff>571500</xdr:colOff>
          <xdr:row>49</xdr:row>
          <xdr:rowOff>180975</xdr:rowOff>
        </xdr:to>
        <xdr:sp macro="" textlink="">
          <xdr:nvSpPr>
            <xdr:cNvPr id="2063" name="Check Box 15" descr="Interdiction d'accueil du public (du ... au ...)"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9</xdr:col>
          <xdr:colOff>571500</xdr:colOff>
          <xdr:row>51</xdr:row>
          <xdr:rowOff>180975</xdr:rowOff>
        </xdr:to>
        <xdr:sp macro="" textlink="">
          <xdr:nvSpPr>
            <xdr:cNvPr id="2064" name="Check Box 16" descr="Interdiction d'accueil du public (du ... au ...)"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10</xdr:col>
          <xdr:colOff>47625</xdr:colOff>
          <xdr:row>25</xdr:row>
          <xdr:rowOff>209550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96</xdr:row>
      <xdr:rowOff>46544</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3</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xmlns="" id="{00000000-0008-0000-0000-000010000000}"/>
            </a:ext>
          </a:extLst>
        </xdr:cNvPr>
        <xdr:cNvSpPr/>
      </xdr:nvSpPr>
      <xdr:spPr>
        <a:xfrm>
          <a:off x="10363199" y="600075"/>
          <a:ext cx="9544050" cy="1714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5" name="Image 14">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9" name="Image 18">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2" name="Image 21">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8" name="Image 17">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0" name="Image 19">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1" name="Image 20">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www.legifrance.gouv.fr/jorf/id/JORFTEXT000042702165"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arcolib.fr/sites/default/files/fichiersbasedoc/R%C3%A9sum%C3%A9_Prolongation_du_Fonds_de_Solidarit%C3%A9_13.pdf" TargetMode="External"/><Relationship Id="rId11" Type="http://schemas.openxmlformats.org/officeDocument/2006/relationships/ctrlProp" Target="../ctrlProps/ctrlProp2.xml"/><Relationship Id="rId5" Type="http://schemas.openxmlformats.org/officeDocument/2006/relationships/hyperlink" Target="https://www.legifrance.gouv.fr/jorf/id/JORFTEXT000042486721"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174"/>
  <sheetViews>
    <sheetView showGridLine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6.28515625" customWidth="1"/>
    <col min="10" max="10" width="13.5703125" customWidth="1"/>
    <col min="11" max="11" width="13.42578125" customWidth="1"/>
    <col min="13" max="13" width="16.28515625" customWidth="1"/>
    <col min="14" max="14" width="3.85546875" customWidth="1"/>
    <col min="15" max="15" width="4.140625" customWidth="1"/>
    <col min="16" max="16" width="13.28515625"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c r="B1" s="40"/>
      <c r="C1" s="40"/>
      <c r="D1" s="40"/>
      <c r="E1" s="40"/>
      <c r="F1" s="40"/>
      <c r="G1" s="40"/>
      <c r="H1" s="40"/>
      <c r="I1" s="40"/>
      <c r="J1" s="40"/>
      <c r="K1" s="40"/>
      <c r="L1" s="40"/>
      <c r="M1" s="40"/>
      <c r="N1" s="40"/>
      <c r="O1" s="40"/>
      <c r="P1" s="40"/>
    </row>
    <row r="2" spans="2:25" ht="15" customHeight="1">
      <c r="B2" s="40"/>
      <c r="C2" s="40"/>
      <c r="D2" s="40"/>
      <c r="E2" s="40"/>
      <c r="F2" s="40"/>
      <c r="G2" s="40"/>
      <c r="H2" s="328" t="s">
        <v>14</v>
      </c>
      <c r="I2" s="329"/>
      <c r="J2" s="330"/>
      <c r="K2" s="337"/>
      <c r="L2" s="338"/>
      <c r="M2" s="338"/>
      <c r="N2" s="338"/>
      <c r="O2" s="338"/>
      <c r="P2" s="339"/>
      <c r="S2" s="328" t="s">
        <v>41</v>
      </c>
      <c r="T2" s="329"/>
      <c r="U2" s="329"/>
      <c r="V2" s="330"/>
    </row>
    <row r="3" spans="2:25" ht="15" customHeight="1">
      <c r="B3" s="40"/>
      <c r="C3" s="40"/>
      <c r="D3" s="40"/>
      <c r="E3" s="40"/>
      <c r="F3" s="40"/>
      <c r="G3" s="40"/>
      <c r="H3" s="331"/>
      <c r="I3" s="332"/>
      <c r="J3" s="333"/>
      <c r="K3" s="340"/>
      <c r="L3" s="341"/>
      <c r="M3" s="341"/>
      <c r="N3" s="341"/>
      <c r="O3" s="341"/>
      <c r="P3" s="342"/>
      <c r="S3" s="331"/>
      <c r="T3" s="332"/>
      <c r="U3" s="332"/>
      <c r="V3" s="333"/>
    </row>
    <row r="4" spans="2:25" ht="15" customHeight="1" thickBot="1">
      <c r="B4" s="40"/>
      <c r="C4" s="40"/>
      <c r="D4" s="40"/>
      <c r="E4" s="40"/>
      <c r="F4" s="40"/>
      <c r="G4" s="40"/>
      <c r="H4" s="334"/>
      <c r="I4" s="335"/>
      <c r="J4" s="336"/>
      <c r="K4" s="343"/>
      <c r="L4" s="344"/>
      <c r="M4" s="344"/>
      <c r="N4" s="344"/>
      <c r="O4" s="344"/>
      <c r="P4" s="345"/>
      <c r="S4" s="82"/>
      <c r="T4" s="137" t="s">
        <v>54</v>
      </c>
      <c r="U4" s="138"/>
      <c r="V4" s="81"/>
    </row>
    <row r="5" spans="2:25" ht="15" customHeight="1" thickBot="1">
      <c r="B5" s="40"/>
      <c r="C5" s="40"/>
      <c r="D5" s="40"/>
      <c r="E5" s="40"/>
      <c r="F5" s="40"/>
      <c r="G5" s="40"/>
      <c r="H5" s="41"/>
      <c r="I5" s="41"/>
      <c r="J5" s="41"/>
      <c r="K5" s="42"/>
      <c r="L5" s="42"/>
      <c r="M5" s="42"/>
      <c r="N5" s="42"/>
      <c r="O5" s="42"/>
      <c r="P5" s="42"/>
      <c r="S5" s="82"/>
      <c r="T5" s="367" t="s">
        <v>35</v>
      </c>
      <c r="U5" s="367"/>
      <c r="V5" s="81"/>
    </row>
    <row r="6" spans="2:25" ht="15" customHeight="1" thickBot="1">
      <c r="B6" s="40"/>
      <c r="C6" s="40"/>
      <c r="D6" s="40"/>
      <c r="E6" s="40"/>
      <c r="F6" s="40"/>
      <c r="G6" s="40"/>
      <c r="H6" s="351" t="s">
        <v>55</v>
      </c>
      <c r="I6" s="352"/>
      <c r="J6" s="353"/>
      <c r="K6" s="349"/>
      <c r="L6" s="354"/>
      <c r="M6" s="354"/>
      <c r="N6" s="354"/>
      <c r="O6" s="354"/>
      <c r="P6" s="355"/>
      <c r="S6" s="82"/>
      <c r="T6" s="367"/>
      <c r="U6" s="367"/>
      <c r="V6" s="81"/>
    </row>
    <row r="7" spans="2:25" ht="15.75" thickBot="1">
      <c r="B7" s="40"/>
      <c r="C7" s="40"/>
      <c r="D7" s="40"/>
      <c r="E7" s="40"/>
      <c r="F7" s="40"/>
      <c r="G7" s="40"/>
      <c r="H7" s="40"/>
      <c r="I7" s="40"/>
      <c r="J7" s="40"/>
      <c r="K7" s="40"/>
      <c r="L7" s="40"/>
      <c r="M7" s="40"/>
      <c r="N7" s="40"/>
      <c r="O7" s="40"/>
      <c r="P7" s="40"/>
      <c r="S7" s="83"/>
      <c r="T7" s="84"/>
      <c r="U7" s="84"/>
      <c r="V7" s="85"/>
    </row>
    <row r="8" spans="2:25" ht="15.75" thickBot="1">
      <c r="B8" s="40"/>
      <c r="C8" s="40"/>
      <c r="D8" s="40"/>
      <c r="E8" s="40"/>
      <c r="F8" s="40"/>
      <c r="G8" s="40"/>
      <c r="H8" s="346" t="s">
        <v>15</v>
      </c>
      <c r="I8" s="347"/>
      <c r="J8" s="348"/>
      <c r="K8" s="349"/>
      <c r="L8" s="350"/>
      <c r="M8" s="360" t="s">
        <v>42</v>
      </c>
      <c r="N8" s="287"/>
      <c r="O8" s="287"/>
      <c r="P8" s="287"/>
    </row>
    <row r="9" spans="2:25" ht="23.25" customHeight="1" thickBot="1">
      <c r="B9" s="40"/>
      <c r="C9" s="40"/>
      <c r="D9" s="40"/>
      <c r="E9" s="40"/>
      <c r="F9" s="40"/>
      <c r="G9" s="40"/>
      <c r="H9" s="43"/>
      <c r="I9" s="40"/>
      <c r="J9" s="40"/>
      <c r="K9" s="40"/>
      <c r="L9" s="40"/>
      <c r="M9" s="40"/>
      <c r="N9" s="40"/>
      <c r="O9" s="40"/>
      <c r="P9" s="40"/>
      <c r="S9" s="369" t="s">
        <v>68</v>
      </c>
      <c r="T9" s="369"/>
      <c r="U9" s="369"/>
      <c r="V9" s="369"/>
    </row>
    <row r="10" spans="2:25" ht="15" customHeight="1">
      <c r="B10" s="356" t="s">
        <v>38</v>
      </c>
      <c r="C10" s="357"/>
      <c r="D10" s="357"/>
      <c r="E10" s="357"/>
      <c r="F10" s="357"/>
      <c r="G10" s="364" t="s">
        <v>50</v>
      </c>
      <c r="H10" s="365"/>
      <c r="I10" s="365"/>
      <c r="J10" s="365"/>
      <c r="K10" s="365"/>
      <c r="L10" s="366"/>
      <c r="M10" s="91"/>
      <c r="N10" s="91"/>
      <c r="O10" s="91"/>
      <c r="P10" s="91"/>
      <c r="S10" s="369"/>
      <c r="T10" s="369"/>
      <c r="U10" s="369"/>
      <c r="V10" s="369"/>
    </row>
    <row r="11" spans="2:25" ht="15" customHeight="1" thickBot="1">
      <c r="B11" s="358"/>
      <c r="C11" s="359"/>
      <c r="D11" s="359"/>
      <c r="E11" s="359"/>
      <c r="F11" s="359"/>
      <c r="G11" s="361" t="s">
        <v>37</v>
      </c>
      <c r="H11" s="362"/>
      <c r="I11" s="362"/>
      <c r="J11" s="362"/>
      <c r="K11" s="362"/>
      <c r="L11" s="363"/>
      <c r="M11" s="91"/>
      <c r="N11" s="91"/>
      <c r="O11" s="91"/>
      <c r="P11" s="91"/>
      <c r="S11" s="112"/>
      <c r="T11" s="320" t="s">
        <v>67</v>
      </c>
      <c r="U11" s="368"/>
      <c r="V11" s="112"/>
    </row>
    <row r="12" spans="2:25" ht="15" customHeight="1">
      <c r="B12" s="101"/>
      <c r="C12" s="101"/>
      <c r="D12" s="101"/>
      <c r="E12" s="101"/>
      <c r="F12" s="101"/>
      <c r="G12" s="96"/>
      <c r="H12" s="96"/>
      <c r="I12" s="96"/>
      <c r="J12" s="96"/>
      <c r="K12" s="96"/>
      <c r="L12" s="96"/>
      <c r="M12" s="91"/>
      <c r="N12" s="91"/>
      <c r="O12" s="91"/>
      <c r="P12" s="91"/>
      <c r="S12" s="106"/>
      <c r="T12" s="368"/>
      <c r="U12" s="368"/>
      <c r="V12" s="106"/>
      <c r="W12" s="99"/>
      <c r="X12" s="99"/>
      <c r="Y12" s="99"/>
    </row>
    <row r="13" spans="2:25" ht="15" customHeight="1">
      <c r="B13" s="97"/>
      <c r="C13" s="97"/>
      <c r="D13" s="97"/>
      <c r="E13" s="97"/>
      <c r="F13" s="97"/>
      <c r="G13" s="96"/>
      <c r="H13" s="96"/>
      <c r="I13" s="96"/>
      <c r="J13" s="96"/>
      <c r="K13" s="96"/>
      <c r="L13" s="96"/>
      <c r="M13" s="91"/>
      <c r="N13" s="91"/>
      <c r="O13" s="91"/>
      <c r="P13" s="91"/>
      <c r="S13" s="106"/>
      <c r="T13" s="320" t="s">
        <v>65</v>
      </c>
      <c r="U13" s="320"/>
      <c r="V13" s="106"/>
      <c r="W13" s="99"/>
      <c r="X13" s="99"/>
      <c r="Y13" s="99"/>
    </row>
    <row r="14" spans="2:25" ht="15" customHeight="1">
      <c r="B14" s="60" t="s">
        <v>53</v>
      </c>
      <c r="C14" s="40"/>
      <c r="D14" s="40"/>
      <c r="E14" s="40"/>
      <c r="F14" s="40"/>
      <c r="G14" s="40"/>
      <c r="H14" s="43"/>
      <c r="I14" s="40"/>
      <c r="J14" s="40"/>
      <c r="K14" s="40"/>
      <c r="L14" s="40"/>
      <c r="M14" s="40"/>
      <c r="N14" s="40"/>
      <c r="O14" s="40"/>
      <c r="P14" s="40"/>
      <c r="S14" s="106"/>
      <c r="T14" s="320"/>
      <c r="U14" s="320"/>
      <c r="V14" s="106"/>
    </row>
    <row r="15" spans="2:25" ht="15" customHeight="1">
      <c r="B15" s="315" t="s">
        <v>57</v>
      </c>
      <c r="C15" s="315"/>
      <c r="D15" s="315"/>
      <c r="E15" s="315"/>
      <c r="F15" s="315"/>
      <c r="G15" s="315"/>
      <c r="H15" s="40"/>
      <c r="I15" s="40"/>
      <c r="J15" s="40"/>
      <c r="K15" s="40"/>
      <c r="L15" s="40"/>
      <c r="M15" s="40"/>
      <c r="N15" s="40"/>
      <c r="O15" s="40"/>
      <c r="P15" s="40"/>
      <c r="Q15" s="39"/>
      <c r="R15" s="39"/>
      <c r="S15" s="106"/>
      <c r="T15" s="320"/>
      <c r="U15" s="320"/>
      <c r="V15" s="106"/>
    </row>
    <row r="16" spans="2:25" ht="15" customHeight="1">
      <c r="B16" s="40"/>
      <c r="C16" s="40"/>
      <c r="D16" s="40"/>
      <c r="E16" s="40"/>
      <c r="F16" s="40"/>
      <c r="G16" s="40"/>
      <c r="H16" s="40"/>
      <c r="I16" s="40"/>
      <c r="J16" s="40"/>
      <c r="K16" s="40"/>
      <c r="L16" s="40"/>
      <c r="M16" s="40"/>
      <c r="N16" s="40"/>
      <c r="O16" s="40"/>
      <c r="P16" s="40"/>
      <c r="Q16" s="39"/>
      <c r="R16" s="102"/>
      <c r="S16" s="106"/>
      <c r="T16" s="320" t="s">
        <v>115</v>
      </c>
      <c r="U16" s="320"/>
      <c r="V16" s="106"/>
      <c r="W16" s="5"/>
    </row>
    <row r="17" spans="2:22" ht="15.75" customHeight="1">
      <c r="B17" s="315" t="s">
        <v>56</v>
      </c>
      <c r="C17" s="315"/>
      <c r="D17" s="315"/>
      <c r="E17" s="315"/>
      <c r="F17" s="315"/>
      <c r="G17" s="315"/>
      <c r="H17" s="40"/>
      <c r="I17" s="40"/>
      <c r="J17" s="40"/>
      <c r="K17" s="40"/>
      <c r="L17" s="40"/>
      <c r="M17" s="40"/>
      <c r="N17" s="40"/>
      <c r="O17" s="40"/>
      <c r="P17" s="40"/>
      <c r="Q17" s="31"/>
      <c r="R17" s="31"/>
      <c r="S17" s="106"/>
      <c r="T17" s="320"/>
      <c r="U17" s="320"/>
      <c r="V17" s="106"/>
    </row>
    <row r="18" spans="2:22">
      <c r="B18" s="40"/>
      <c r="C18" s="40"/>
      <c r="D18" s="40"/>
      <c r="E18" s="295" t="s">
        <v>59</v>
      </c>
      <c r="F18" s="295"/>
      <c r="G18" s="295"/>
      <c r="H18" s="295"/>
      <c r="I18" s="295"/>
      <c r="J18" s="295"/>
      <c r="K18" s="295"/>
      <c r="L18" s="295"/>
      <c r="M18" s="295"/>
      <c r="N18" s="295"/>
      <c r="O18" s="295"/>
      <c r="P18" s="40"/>
      <c r="S18" s="106"/>
      <c r="T18" s="320"/>
      <c r="U18" s="320"/>
      <c r="V18" s="106"/>
    </row>
    <row r="19" spans="2:22" ht="15.75" customHeight="1">
      <c r="B19" s="40"/>
      <c r="C19" s="40"/>
      <c r="D19" s="40"/>
      <c r="E19" s="295" t="s">
        <v>112</v>
      </c>
      <c r="F19" s="295"/>
      <c r="G19" s="295"/>
      <c r="H19" s="295"/>
      <c r="I19" s="295"/>
      <c r="J19" s="295"/>
      <c r="K19" s="295"/>
      <c r="L19" s="295"/>
      <c r="M19" s="295"/>
      <c r="N19" s="295"/>
      <c r="O19" s="295"/>
      <c r="P19" s="40"/>
      <c r="S19" s="106"/>
      <c r="T19" s="320" t="s">
        <v>114</v>
      </c>
      <c r="U19" s="320"/>
      <c r="V19" s="105"/>
    </row>
    <row r="20" spans="2:22" ht="15.75" customHeight="1">
      <c r="B20" s="40"/>
      <c r="C20" s="40"/>
      <c r="D20" s="40"/>
      <c r="E20" s="295" t="s">
        <v>306</v>
      </c>
      <c r="F20" s="295"/>
      <c r="G20" s="295"/>
      <c r="H20" s="295"/>
      <c r="I20" s="295"/>
      <c r="J20" s="295"/>
      <c r="K20" s="295"/>
      <c r="L20" s="295"/>
      <c r="M20" s="295"/>
      <c r="N20" s="295"/>
      <c r="O20" s="295"/>
      <c r="P20" s="40"/>
      <c r="S20" s="106"/>
      <c r="T20" s="320"/>
      <c r="U20" s="320"/>
      <c r="V20" s="105"/>
    </row>
    <row r="21" spans="2:22" ht="15.75" customHeight="1">
      <c r="B21" s="40"/>
      <c r="C21" s="40"/>
      <c r="D21" s="295" t="s">
        <v>363</v>
      </c>
      <c r="E21" s="295"/>
      <c r="F21" s="295"/>
      <c r="G21" s="295"/>
      <c r="H21" s="295"/>
      <c r="I21" s="295"/>
      <c r="J21" s="295"/>
      <c r="K21" s="295"/>
      <c r="L21" s="295"/>
      <c r="M21" s="295"/>
      <c r="N21" s="295"/>
      <c r="O21" s="295"/>
      <c r="P21" s="40"/>
      <c r="S21" s="106"/>
      <c r="T21" s="320"/>
      <c r="U21" s="320"/>
      <c r="V21" s="105"/>
    </row>
    <row r="22" spans="2:22" ht="15.75">
      <c r="B22" s="40"/>
      <c r="C22" s="40"/>
      <c r="D22" s="40"/>
      <c r="E22" s="295" t="str">
        <f>IF(AND(Annexes!F5&gt;1,Annexes!F7&gt;1),"Veuillez-vous assurer qu'il n'y ait qu'une seule activité de sélectionnée entre l'annexe 1 et 2","")</f>
        <v/>
      </c>
      <c r="F22" s="295"/>
      <c r="G22" s="295"/>
      <c r="H22" s="295"/>
      <c r="I22" s="295"/>
      <c r="J22" s="295"/>
      <c r="K22" s="295"/>
      <c r="L22" s="295"/>
      <c r="M22" s="295"/>
      <c r="N22" s="295"/>
      <c r="O22" s="295"/>
      <c r="P22" s="40"/>
      <c r="S22" s="106"/>
      <c r="T22" s="320"/>
      <c r="U22" s="320"/>
      <c r="V22" s="105"/>
    </row>
    <row r="23" spans="2:22" ht="15.75">
      <c r="B23" s="40"/>
      <c r="C23" s="40"/>
      <c r="D23" s="40"/>
      <c r="E23" s="209"/>
      <c r="F23" s="209"/>
      <c r="G23" s="209"/>
      <c r="H23" s="209"/>
      <c r="I23" s="209"/>
      <c r="J23" s="209"/>
      <c r="K23" s="209"/>
      <c r="L23" s="209"/>
      <c r="M23" s="209"/>
      <c r="N23" s="209"/>
      <c r="O23" s="209"/>
      <c r="P23" s="40"/>
      <c r="S23" s="105"/>
      <c r="T23" s="320" t="s">
        <v>71</v>
      </c>
      <c r="U23" s="320"/>
      <c r="V23" s="105"/>
    </row>
    <row r="24" spans="2:22" ht="15.75" customHeight="1">
      <c r="B24" s="40"/>
      <c r="C24" s="40"/>
      <c r="D24" s="40"/>
      <c r="E24" s="321" t="s">
        <v>313</v>
      </c>
      <c r="F24" s="321"/>
      <c r="G24" s="321"/>
      <c r="H24" s="321"/>
      <c r="I24" s="321"/>
      <c r="J24" s="321"/>
      <c r="K24" s="321"/>
      <c r="L24" s="321"/>
      <c r="M24" s="321"/>
      <c r="N24" s="321"/>
      <c r="O24" s="321"/>
      <c r="P24" s="321"/>
      <c r="Q24" s="321"/>
      <c r="S24" s="105"/>
      <c r="T24" s="320"/>
      <c r="U24" s="320"/>
      <c r="V24" s="105"/>
    </row>
    <row r="25" spans="2:22" ht="15.75" customHeight="1">
      <c r="B25" s="40"/>
      <c r="C25" s="40"/>
      <c r="D25" s="40"/>
      <c r="E25" s="322" t="str">
        <f>IF(AND(OR(Annexes!F5&gt;1,Annexes!F7&gt;1),Annexes!M13=TRUE),"Veuillez-vous assurer qu'il n'y ait qu'une seule activité de sélectionnée entre l'annexe 1, 2 et 3","")</f>
        <v/>
      </c>
      <c r="F25" s="322"/>
      <c r="G25" s="322"/>
      <c r="H25" s="322"/>
      <c r="I25" s="322"/>
      <c r="J25" s="322"/>
      <c r="K25" s="322"/>
      <c r="L25" s="322"/>
      <c r="M25" s="322"/>
      <c r="N25" s="322"/>
      <c r="O25" s="322"/>
      <c r="P25" s="322"/>
      <c r="Q25" s="219"/>
      <c r="S25" s="105"/>
      <c r="T25" s="320"/>
      <c r="U25" s="320"/>
      <c r="V25" s="105"/>
    </row>
    <row r="26" spans="2:22" ht="31.5" customHeight="1">
      <c r="B26" s="40"/>
      <c r="C26" s="40"/>
      <c r="D26" s="40"/>
      <c r="E26" s="371" t="s">
        <v>323</v>
      </c>
      <c r="F26" s="371"/>
      <c r="G26" s="371"/>
      <c r="H26" s="371"/>
      <c r="I26" s="371"/>
      <c r="J26" s="371"/>
      <c r="K26" s="371"/>
      <c r="L26" s="371"/>
      <c r="M26" s="371"/>
      <c r="N26" s="371"/>
      <c r="O26" s="371"/>
      <c r="P26" s="371"/>
      <c r="Q26" s="371"/>
      <c r="S26" s="105"/>
      <c r="T26" s="320"/>
      <c r="U26" s="320"/>
      <c r="V26" s="105"/>
    </row>
    <row r="27" spans="2:22" ht="15.75" customHeight="1">
      <c r="B27" s="40"/>
      <c r="C27" s="40"/>
      <c r="D27" s="40"/>
      <c r="E27" s="372" t="str">
        <f>IF(AND(OR(Annexes!F5&gt;1,Annexes!F7&gt;1),Annexes!M19=TRUE),"Veuillez-vous assurer qu'il n'y ait qu'une seule activité de sélectionnée entre l'annexe 1, 2 et exercant dans un centre commercial","")</f>
        <v/>
      </c>
      <c r="F27" s="372"/>
      <c r="G27" s="372"/>
      <c r="H27" s="372"/>
      <c r="I27" s="372"/>
      <c r="J27" s="372"/>
      <c r="K27" s="372"/>
      <c r="L27" s="372"/>
      <c r="M27" s="372"/>
      <c r="N27" s="372"/>
      <c r="O27" s="372"/>
      <c r="P27" s="372"/>
      <c r="S27" s="5"/>
      <c r="T27" s="92"/>
      <c r="U27" s="92"/>
      <c r="V27" s="92"/>
    </row>
    <row r="28" spans="2:22" ht="15.75">
      <c r="B28" s="40"/>
      <c r="C28" s="40"/>
      <c r="D28" s="40"/>
      <c r="E28" s="40"/>
      <c r="F28" s="40"/>
      <c r="G28" s="40"/>
      <c r="H28" s="40"/>
      <c r="I28" s="40"/>
      <c r="J28" s="40"/>
      <c r="K28" s="40"/>
      <c r="L28" s="40"/>
      <c r="M28" s="40"/>
      <c r="N28" s="40"/>
      <c r="O28" s="40"/>
      <c r="P28" s="40"/>
      <c r="S28" s="93"/>
      <c r="T28" s="93"/>
      <c r="U28" s="94"/>
      <c r="V28" s="95"/>
    </row>
    <row r="29" spans="2:22">
      <c r="B29" s="40"/>
      <c r="C29" s="40"/>
      <c r="D29" s="40"/>
      <c r="E29" s="296" t="s">
        <v>58</v>
      </c>
      <c r="F29" s="296"/>
      <c r="G29" s="296"/>
      <c r="H29" s="296"/>
      <c r="I29" s="296"/>
      <c r="J29" s="296"/>
      <c r="K29" s="296"/>
      <c r="L29" s="40"/>
      <c r="M29" s="40"/>
      <c r="N29" s="40"/>
      <c r="O29" s="40"/>
      <c r="P29" s="40"/>
      <c r="U29" s="1"/>
    </row>
    <row r="30" spans="2:22">
      <c r="B30" s="40"/>
      <c r="C30" s="40"/>
      <c r="D30" s="40"/>
      <c r="E30" s="323" t="s">
        <v>90</v>
      </c>
      <c r="F30" s="323"/>
      <c r="G30" s="323"/>
      <c r="H30" s="323"/>
      <c r="I30" s="323"/>
      <c r="J30" s="323"/>
      <c r="K30" s="323"/>
      <c r="L30" s="323"/>
      <c r="M30" s="323"/>
      <c r="N30" s="323"/>
      <c r="O30" s="323"/>
      <c r="P30" s="323"/>
      <c r="U30" s="1"/>
    </row>
    <row r="31" spans="2:22">
      <c r="B31" s="40"/>
      <c r="C31" s="40"/>
      <c r="D31" s="40"/>
      <c r="E31" s="323"/>
      <c r="F31" s="323"/>
      <c r="G31" s="323"/>
      <c r="H31" s="323"/>
      <c r="I31" s="323"/>
      <c r="J31" s="323"/>
      <c r="K31" s="323"/>
      <c r="L31" s="323"/>
      <c r="M31" s="323"/>
      <c r="N31" s="323"/>
      <c r="O31" s="323"/>
      <c r="P31" s="323"/>
      <c r="U31" s="1"/>
    </row>
    <row r="32" spans="2:22">
      <c r="B32" s="40"/>
      <c r="C32" s="64"/>
      <c r="D32" s="40"/>
      <c r="E32" s="296" t="s">
        <v>64</v>
      </c>
      <c r="F32" s="296"/>
      <c r="G32" s="296"/>
      <c r="H32" s="296"/>
      <c r="I32" s="296"/>
      <c r="J32" s="296"/>
      <c r="K32" s="64"/>
      <c r="L32" s="64"/>
      <c r="M32" s="64"/>
      <c r="N32" s="64"/>
      <c r="O32" s="64"/>
      <c r="P32" s="64"/>
      <c r="Q32" s="78"/>
      <c r="U32" s="1"/>
    </row>
    <row r="33" spans="1:29" ht="7.5" customHeight="1">
      <c r="A33" s="147"/>
      <c r="B33" s="65"/>
      <c r="C33" s="157"/>
      <c r="D33" s="44"/>
      <c r="E33" s="45"/>
      <c r="F33" s="45"/>
      <c r="G33" s="45"/>
      <c r="H33" s="45"/>
      <c r="I33" s="45"/>
      <c r="J33" s="86"/>
      <c r="K33" s="69"/>
      <c r="L33" s="69"/>
      <c r="M33" s="69"/>
      <c r="N33" s="69"/>
      <c r="O33" s="69"/>
      <c r="P33" s="69"/>
      <c r="Q33" s="70"/>
      <c r="U33" s="1"/>
    </row>
    <row r="34" spans="1:29">
      <c r="A34" s="147" t="s">
        <v>45</v>
      </c>
      <c r="B34" s="65"/>
      <c r="C34" s="44"/>
      <c r="D34" s="44"/>
      <c r="E34" s="45"/>
      <c r="F34" s="45"/>
      <c r="G34" s="45"/>
      <c r="H34" s="45"/>
      <c r="I34" s="45"/>
      <c r="J34" s="45"/>
      <c r="K34" s="40"/>
      <c r="L34" s="40"/>
      <c r="M34" s="87" t="s">
        <v>10</v>
      </c>
      <c r="N34" s="47"/>
      <c r="O34" s="48"/>
      <c r="P34" s="87" t="s">
        <v>11</v>
      </c>
      <c r="Q34" s="68"/>
      <c r="U34" s="1"/>
    </row>
    <row r="35" spans="1:29" ht="6.75" customHeight="1">
      <c r="A35" s="147"/>
      <c r="B35" s="65"/>
      <c r="C35" s="44"/>
      <c r="D35" s="44"/>
      <c r="E35" s="40"/>
      <c r="F35" s="40"/>
      <c r="G35" s="40"/>
      <c r="H35" s="40"/>
      <c r="I35" s="40"/>
      <c r="J35" s="40"/>
      <c r="K35" s="40"/>
      <c r="L35" s="40"/>
      <c r="M35" s="40"/>
      <c r="N35" s="40"/>
      <c r="O35" s="44"/>
      <c r="P35" s="40"/>
      <c r="Q35" s="68"/>
      <c r="R35" s="1"/>
      <c r="U35" s="1"/>
    </row>
    <row r="36" spans="1:29">
      <c r="A36" s="147" t="s">
        <v>46</v>
      </c>
      <c r="B36" s="65"/>
      <c r="C36" s="44"/>
      <c r="D36" s="44"/>
      <c r="E36" s="76" t="s">
        <v>51</v>
      </c>
      <c r="F36" s="40"/>
      <c r="G36" s="40"/>
      <c r="H36" s="40"/>
      <c r="I36" s="40"/>
      <c r="J36" s="40"/>
      <c r="K36" s="40"/>
      <c r="L36" s="40"/>
      <c r="M36" s="40"/>
      <c r="N36" s="40"/>
      <c r="O36" s="44"/>
      <c r="P36" s="40"/>
      <c r="Q36" s="68"/>
      <c r="R36" s="1"/>
      <c r="U36" s="1"/>
      <c r="AC36" s="17">
        <v>333</v>
      </c>
    </row>
    <row r="37" spans="1:29">
      <c r="A37" s="147" t="s">
        <v>47</v>
      </c>
      <c r="B37" s="65"/>
      <c r="C37" s="44"/>
      <c r="D37" s="44"/>
      <c r="E37" s="40"/>
      <c r="F37" s="40"/>
      <c r="G37" s="40"/>
      <c r="H37" s="40"/>
      <c r="I37" s="40"/>
      <c r="J37" s="40"/>
      <c r="K37" s="49"/>
      <c r="L37" s="40"/>
      <c r="M37" s="40"/>
      <c r="N37" s="44"/>
      <c r="O37" s="44"/>
      <c r="P37" s="40"/>
      <c r="Q37" s="68"/>
      <c r="U37" s="1"/>
    </row>
    <row r="38" spans="1:29" hidden="1">
      <c r="A38" s="147"/>
      <c r="B38" s="65"/>
      <c r="C38" s="44"/>
      <c r="D38" s="44"/>
      <c r="E38" s="40"/>
      <c r="F38" s="40"/>
      <c r="G38" s="40"/>
      <c r="H38" s="40"/>
      <c r="I38" s="40"/>
      <c r="J38" s="49"/>
      <c r="K38" s="40"/>
      <c r="L38" s="40"/>
      <c r="M38" s="40"/>
      <c r="N38" s="40"/>
      <c r="O38" s="46"/>
      <c r="P38" s="40"/>
      <c r="Q38" s="68"/>
      <c r="U38" s="1"/>
    </row>
    <row r="39" spans="1:29" hidden="1">
      <c r="A39" s="147"/>
      <c r="B39" s="65"/>
      <c r="C39" s="44"/>
      <c r="D39" s="44"/>
      <c r="E39" s="49" t="s">
        <v>60</v>
      </c>
      <c r="F39" s="45"/>
      <c r="G39" s="45"/>
      <c r="H39" s="45"/>
      <c r="I39" s="45"/>
      <c r="J39" s="49"/>
      <c r="K39" s="40"/>
      <c r="L39" s="40"/>
      <c r="M39" s="40"/>
      <c r="N39" s="44"/>
      <c r="O39" s="46"/>
      <c r="P39" s="40"/>
      <c r="Q39" s="68"/>
      <c r="U39" s="1"/>
    </row>
    <row r="40" spans="1:29" hidden="1">
      <c r="A40" s="147"/>
      <c r="B40" s="65"/>
      <c r="C40" s="44"/>
      <c r="D40" s="44"/>
      <c r="E40" s="40"/>
      <c r="F40" s="40"/>
      <c r="G40" s="40"/>
      <c r="H40" s="40"/>
      <c r="I40" s="40"/>
      <c r="J40" s="49"/>
      <c r="K40" s="40"/>
      <c r="L40" s="40"/>
      <c r="M40" s="40"/>
      <c r="N40" s="40"/>
      <c r="O40" s="46"/>
      <c r="P40" s="40"/>
      <c r="Q40" s="68"/>
      <c r="U40" s="1"/>
    </row>
    <row r="41" spans="1:29" hidden="1">
      <c r="A41" s="147"/>
      <c r="B41" s="65"/>
      <c r="C41" s="44"/>
      <c r="D41" s="44"/>
      <c r="E41" s="40" t="s">
        <v>61</v>
      </c>
      <c r="F41" s="40"/>
      <c r="G41" s="40"/>
      <c r="H41" s="40"/>
      <c r="I41" s="40"/>
      <c r="J41" s="40"/>
      <c r="K41" s="40"/>
      <c r="L41" s="40"/>
      <c r="M41" s="40"/>
      <c r="N41" s="44"/>
      <c r="O41" s="46"/>
      <c r="P41" s="40"/>
      <c r="Q41" s="68"/>
      <c r="U41" s="1"/>
    </row>
    <row r="42" spans="1:29" ht="6.75" customHeight="1">
      <c r="A42" s="147"/>
      <c r="B42" s="65"/>
      <c r="C42" s="66"/>
      <c r="D42" s="64"/>
      <c r="E42" s="64"/>
      <c r="F42" s="64"/>
      <c r="G42" s="64"/>
      <c r="H42" s="64"/>
      <c r="I42" s="64"/>
      <c r="J42" s="64"/>
      <c r="K42" s="67"/>
      <c r="L42" s="64"/>
      <c r="M42" s="64"/>
      <c r="N42" s="64"/>
      <c r="O42" s="64"/>
      <c r="P42" s="64"/>
      <c r="Q42" s="75"/>
      <c r="U42" s="1"/>
    </row>
    <row r="43" spans="1:29">
      <c r="A43" s="147" t="s">
        <v>48</v>
      </c>
      <c r="B43" s="40"/>
      <c r="C43" s="40"/>
      <c r="D43" s="40"/>
      <c r="E43" s="326" t="str">
        <f>IF(Annexes!M5=FALSE,"","le CA réalisé sur les activités de vente à distance avec retrait en magasin ou livraison ne sont pas à prendre en compte")</f>
        <v/>
      </c>
      <c r="F43" s="326"/>
      <c r="G43" s="326"/>
      <c r="H43" s="326"/>
      <c r="I43" s="326"/>
      <c r="J43" s="326"/>
      <c r="K43" s="326"/>
      <c r="L43" s="326"/>
      <c r="M43" s="326"/>
      <c r="N43" s="326"/>
      <c r="O43" s="326"/>
      <c r="P43" s="326"/>
      <c r="U43" s="1"/>
    </row>
    <row r="44" spans="1:29">
      <c r="A44" s="147" t="s">
        <v>49</v>
      </c>
      <c r="B44" s="40"/>
      <c r="C44" s="40"/>
      <c r="D44" s="40"/>
      <c r="E44" s="40"/>
      <c r="F44" s="40"/>
      <c r="G44" s="40"/>
      <c r="H44" s="40"/>
      <c r="I44" s="40"/>
      <c r="J44" s="40"/>
      <c r="K44" s="49"/>
      <c r="L44" s="40"/>
      <c r="M44" s="40"/>
      <c r="N44" s="40"/>
      <c r="O44" s="40"/>
      <c r="P44" s="40"/>
      <c r="U44" s="1"/>
    </row>
    <row r="45" spans="1:29">
      <c r="B45" s="40"/>
      <c r="C45" s="40"/>
      <c r="D45" s="40"/>
      <c r="E45" s="296" t="s">
        <v>310</v>
      </c>
      <c r="F45" s="296"/>
      <c r="G45" s="296"/>
      <c r="H45" s="296"/>
      <c r="I45" s="296"/>
      <c r="J45" s="296"/>
      <c r="K45" s="40"/>
      <c r="L45" s="40"/>
      <c r="M45" s="40"/>
      <c r="N45" s="40"/>
      <c r="O45" s="40"/>
      <c r="P45" s="40"/>
      <c r="U45" s="1"/>
    </row>
    <row r="46" spans="1:29">
      <c r="B46" s="40"/>
      <c r="C46" s="40"/>
      <c r="D46" s="40"/>
      <c r="E46" s="317" t="str">
        <f>IF(Annexes!M7=FALSE,"","le CA réalisé sur les activités de vente à distance avec retrait en magasin ou livraison ne sont pas à prendre en compte")</f>
        <v/>
      </c>
      <c r="F46" s="317"/>
      <c r="G46" s="317"/>
      <c r="H46" s="317"/>
      <c r="I46" s="317"/>
      <c r="J46" s="317"/>
      <c r="K46" s="317"/>
      <c r="L46" s="317"/>
      <c r="M46" s="317"/>
      <c r="N46" s="317"/>
      <c r="O46" s="317"/>
      <c r="P46" s="317"/>
      <c r="U46" s="1"/>
    </row>
    <row r="47" spans="1:29">
      <c r="B47" s="40"/>
      <c r="C47" s="40"/>
      <c r="D47" s="40"/>
      <c r="E47" s="297" t="s">
        <v>309</v>
      </c>
      <c r="F47" s="297"/>
      <c r="G47" s="297"/>
      <c r="H47" s="297"/>
      <c r="I47" s="297"/>
      <c r="J47" s="297"/>
      <c r="K47" s="40"/>
      <c r="L47" s="40"/>
      <c r="M47" s="40"/>
      <c r="N47" s="40"/>
      <c r="O47" s="40"/>
      <c r="P47" s="40"/>
      <c r="U47" s="1"/>
    </row>
    <row r="48" spans="1:29" ht="22.5" customHeight="1">
      <c r="B48" s="40"/>
      <c r="C48" s="40"/>
      <c r="D48" s="40"/>
      <c r="E48" s="318" t="str">
        <f>IF(Annexes!M11=FALSE,"","le CA réalisé sur les activités de vente à distance avec retrait en magasin ou livraison ne sont pas à prendre en compte pour les fermetures administratives suite au décret n° 2021-32 du 16 Janvier 2021")</f>
        <v/>
      </c>
      <c r="F48" s="318"/>
      <c r="G48" s="318"/>
      <c r="H48" s="318"/>
      <c r="I48" s="318"/>
      <c r="J48" s="318"/>
      <c r="K48" s="318"/>
      <c r="L48" s="318"/>
      <c r="M48" s="318"/>
      <c r="N48" s="318"/>
      <c r="O48" s="318"/>
      <c r="P48" s="318"/>
      <c r="R48" s="2"/>
      <c r="U48" s="1"/>
    </row>
    <row r="49" spans="2:23" ht="15" customHeight="1">
      <c r="B49" s="40"/>
      <c r="C49" s="40"/>
      <c r="D49" s="40"/>
      <c r="E49" s="251"/>
      <c r="F49" s="251"/>
      <c r="G49" s="251"/>
      <c r="H49" s="251"/>
      <c r="I49" s="251"/>
      <c r="J49" s="251"/>
      <c r="K49" s="251"/>
      <c r="L49" s="251"/>
      <c r="M49" s="251"/>
      <c r="N49" s="251"/>
      <c r="O49" s="251"/>
      <c r="P49" s="251"/>
      <c r="R49" s="2"/>
      <c r="U49" s="1"/>
    </row>
    <row r="50" spans="2:23">
      <c r="B50" s="40"/>
      <c r="C50" s="40"/>
      <c r="D50" s="40"/>
      <c r="E50" s="296" t="s">
        <v>307</v>
      </c>
      <c r="F50" s="296"/>
      <c r="G50" s="296"/>
      <c r="H50" s="296"/>
      <c r="I50" s="296"/>
      <c r="J50" s="296"/>
      <c r="K50" s="40"/>
      <c r="L50" s="40"/>
      <c r="M50" s="40"/>
      <c r="N50" s="40"/>
      <c r="O50" s="40"/>
      <c r="P50" s="40"/>
      <c r="U50" s="1"/>
    </row>
    <row r="51" spans="2:23">
      <c r="B51" s="40"/>
      <c r="C51" s="40"/>
      <c r="D51" s="40"/>
      <c r="E51" s="263"/>
      <c r="F51" s="263"/>
      <c r="G51" s="263"/>
      <c r="H51" s="263"/>
      <c r="I51" s="263"/>
      <c r="J51" s="263"/>
      <c r="K51" s="40"/>
      <c r="L51" s="40"/>
      <c r="M51" s="40"/>
      <c r="N51" s="40"/>
      <c r="O51" s="40"/>
      <c r="P51" s="40"/>
      <c r="U51" s="1"/>
    </row>
    <row r="52" spans="2:23">
      <c r="B52" s="40"/>
      <c r="C52" s="40"/>
      <c r="D52" s="40"/>
      <c r="E52" s="296" t="s">
        <v>362</v>
      </c>
      <c r="F52" s="296"/>
      <c r="G52" s="296"/>
      <c r="H52" s="296"/>
      <c r="I52" s="296"/>
      <c r="J52" s="296"/>
      <c r="K52" s="40"/>
      <c r="L52" s="40"/>
      <c r="M52" s="40"/>
      <c r="N52" s="40"/>
      <c r="O52" s="40"/>
      <c r="P52" s="40"/>
      <c r="U52" s="1"/>
    </row>
    <row r="53" spans="2:23">
      <c r="B53" s="40"/>
      <c r="C53" s="40"/>
      <c r="D53" s="40"/>
      <c r="E53" s="323" t="str">
        <f>IF(Annexes!M17=FALSE,"","le CA réalisé sur les activités de vente à distance avec retrait en magasin ou livraison sont à prendre en compte pour les fermetures administratives")</f>
        <v/>
      </c>
      <c r="F53" s="323"/>
      <c r="G53" s="323"/>
      <c r="H53" s="323"/>
      <c r="I53" s="323"/>
      <c r="J53" s="323"/>
      <c r="K53" s="323"/>
      <c r="L53" s="323"/>
      <c r="M53" s="323"/>
      <c r="N53" s="323"/>
      <c r="O53" s="323"/>
      <c r="P53" s="323"/>
      <c r="U53" s="1"/>
    </row>
    <row r="54" spans="2:23">
      <c r="B54" s="40"/>
      <c r="C54" s="40"/>
      <c r="D54" s="40"/>
      <c r="E54" s="250"/>
      <c r="F54" s="250"/>
      <c r="G54" s="250"/>
      <c r="H54" s="250"/>
      <c r="I54" s="250"/>
      <c r="J54" s="250"/>
      <c r="K54" s="40"/>
      <c r="L54" s="40"/>
      <c r="M54" s="40"/>
      <c r="N54" s="40"/>
      <c r="O54" s="40"/>
      <c r="P54" s="40"/>
      <c r="U54" s="1"/>
    </row>
    <row r="55" spans="2:23">
      <c r="B55" s="40"/>
      <c r="C55" s="64"/>
      <c r="D55" s="64"/>
      <c r="E55" s="296" t="s">
        <v>43</v>
      </c>
      <c r="F55" s="296"/>
      <c r="G55" s="156"/>
      <c r="H55" s="156"/>
      <c r="I55" s="156"/>
      <c r="J55" s="156"/>
      <c r="K55" s="64"/>
      <c r="L55" s="64"/>
      <c r="M55" s="64"/>
      <c r="N55" s="64"/>
      <c r="O55" s="64"/>
      <c r="P55" s="64"/>
      <c r="Q55" s="78"/>
      <c r="S55" s="78"/>
      <c r="T55" s="149" t="s">
        <v>94</v>
      </c>
      <c r="U55" s="78"/>
      <c r="V55" s="78"/>
      <c r="W55" s="78"/>
    </row>
    <row r="56" spans="2:23">
      <c r="B56" s="65"/>
      <c r="C56" s="44"/>
      <c r="D56" s="44"/>
      <c r="E56" s="45"/>
      <c r="F56" s="40"/>
      <c r="G56" s="44"/>
      <c r="H56" s="44"/>
      <c r="I56" s="44"/>
      <c r="J56" s="86"/>
      <c r="K56" s="44"/>
      <c r="L56" s="44"/>
      <c r="M56" s="44"/>
      <c r="N56" s="44"/>
      <c r="O56" s="44"/>
      <c r="P56" s="44"/>
      <c r="Q56" s="70"/>
      <c r="R56" s="150"/>
      <c r="S56" s="307"/>
      <c r="T56" s="308"/>
      <c r="U56" s="308"/>
      <c r="V56" s="308"/>
      <c r="W56" s="309"/>
    </row>
    <row r="57" spans="2:23">
      <c r="B57" s="65"/>
      <c r="C57" s="44"/>
      <c r="D57" s="44"/>
      <c r="E57" s="56" t="s">
        <v>52</v>
      </c>
      <c r="F57" s="45"/>
      <c r="G57" s="45"/>
      <c r="H57" s="45"/>
      <c r="I57" s="45"/>
      <c r="J57" s="45"/>
      <c r="K57" s="40"/>
      <c r="L57" s="40"/>
      <c r="M57" s="40"/>
      <c r="N57" s="40"/>
      <c r="O57" s="40"/>
      <c r="P57" s="40"/>
      <c r="Q57" s="68"/>
      <c r="R57" s="150"/>
      <c r="S57" s="307"/>
      <c r="T57" s="308"/>
      <c r="U57" s="308"/>
      <c r="V57" s="308"/>
      <c r="W57" s="309"/>
    </row>
    <row r="58" spans="2:23">
      <c r="B58" s="65"/>
      <c r="C58" s="44"/>
      <c r="D58" s="44"/>
      <c r="E58" s="200"/>
      <c r="F58" s="201"/>
      <c r="G58" s="201"/>
      <c r="H58" s="201"/>
      <c r="I58" s="201"/>
      <c r="J58" s="201"/>
      <c r="K58" s="40"/>
      <c r="L58" s="40"/>
      <c r="M58" s="40"/>
      <c r="N58" s="40"/>
      <c r="O58" s="40"/>
      <c r="P58" s="40"/>
      <c r="Q58" s="68"/>
      <c r="R58" s="150"/>
      <c r="S58" s="304"/>
      <c r="T58" s="305"/>
      <c r="U58" s="305"/>
      <c r="V58" s="305"/>
      <c r="W58" s="306"/>
    </row>
    <row r="59" spans="2:23">
      <c r="B59" s="65"/>
      <c r="C59" s="44"/>
      <c r="D59" s="44"/>
      <c r="E59" s="200"/>
      <c r="F59" s="201"/>
      <c r="G59" s="201"/>
      <c r="H59" s="201"/>
      <c r="I59" s="202" t="s">
        <v>91</v>
      </c>
      <c r="J59" s="201"/>
      <c r="K59" s="40"/>
      <c r="L59" s="298" t="str">
        <f>IF(OR(Annexes!M13=TRUE,AND(Annexes!F7&gt;1,Annexes!F7&lt;=Annexes!H8)),"Année 2020","")</f>
        <v/>
      </c>
      <c r="M59" s="298"/>
      <c r="N59" s="298"/>
      <c r="O59" s="298"/>
      <c r="P59" s="40"/>
      <c r="Q59" s="68"/>
      <c r="R59" s="150"/>
      <c r="S59" s="304"/>
      <c r="T59" s="305"/>
      <c r="U59" s="305"/>
      <c r="V59" s="305"/>
      <c r="W59" s="306"/>
    </row>
    <row r="60" spans="2:23" ht="15.75" thickBot="1">
      <c r="B60" s="65"/>
      <c r="C60" s="44"/>
      <c r="D60" s="44"/>
      <c r="E60" s="200"/>
      <c r="F60" s="201"/>
      <c r="G60" s="201"/>
      <c r="H60" s="201"/>
      <c r="I60" s="201"/>
      <c r="J60" s="201"/>
      <c r="K60" s="40"/>
      <c r="L60" s="40"/>
      <c r="M60" s="40"/>
      <c r="N60" s="40"/>
      <c r="O60" s="319" t="str">
        <f>IF(OR(Annexes!M13=TRUE,AND(Annexes!F7&gt;1,Annexes!F7&lt;=Annexes!H8)),"","Case réservée aux activités mentionnées en annexe 2 (S1 bis) ou en annexe 3")</f>
        <v>Case réservée aux activités mentionnées en annexe 2 (S1 bis) ou en annexe 3</v>
      </c>
      <c r="P60" s="319"/>
      <c r="Q60" s="68"/>
      <c r="R60" s="150"/>
      <c r="S60" s="307"/>
      <c r="T60" s="308"/>
      <c r="U60" s="308"/>
      <c r="V60" s="308"/>
      <c r="W60" s="309"/>
    </row>
    <row r="61" spans="2:23" ht="15.75" customHeight="1" thickBot="1">
      <c r="B61" s="65"/>
      <c r="C61" s="44"/>
      <c r="D61" s="44"/>
      <c r="E61" s="286" t="s">
        <v>117</v>
      </c>
      <c r="F61" s="286"/>
      <c r="G61" s="286"/>
      <c r="H61" s="45"/>
      <c r="I61" s="114">
        <v>0</v>
      </c>
      <c r="J61" s="204" t="str">
        <f>IF('Mon Entreprise'!K8&lt;Annexes!S17,"*","")</f>
        <v>*</v>
      </c>
      <c r="K61" s="44"/>
      <c r="L61" s="40"/>
      <c r="M61" s="114">
        <v>0</v>
      </c>
      <c r="N61" s="40"/>
      <c r="O61" s="319"/>
      <c r="P61" s="319"/>
      <c r="Q61" s="68"/>
      <c r="R61" s="150"/>
      <c r="S61" s="307"/>
      <c r="T61" s="308"/>
      <c r="U61" s="308"/>
      <c r="V61" s="308"/>
      <c r="W61" s="309"/>
    </row>
    <row r="62" spans="2:23">
      <c r="B62" s="65"/>
      <c r="C62" s="44"/>
      <c r="D62" s="44"/>
      <c r="E62" s="98" t="str">
        <f>IF(K8&lt;Annexes!S14,"","En cas de création d'activité après le 01 Janvier 2019, veuillez également vous reporter en bas du tableau...")</f>
        <v/>
      </c>
      <c r="F62" s="45"/>
      <c r="G62" s="45"/>
      <c r="H62" s="45"/>
      <c r="I62" s="45"/>
      <c r="J62" s="205"/>
      <c r="K62" s="44"/>
      <c r="L62" s="40"/>
      <c r="M62" s="99"/>
      <c r="N62" s="40"/>
      <c r="O62" s="319"/>
      <c r="P62" s="319"/>
      <c r="Q62" s="68"/>
      <c r="R62" s="151"/>
      <c r="S62" s="307"/>
      <c r="T62" s="308"/>
      <c r="U62" s="308"/>
      <c r="V62" s="308"/>
      <c r="W62" s="309"/>
    </row>
    <row r="63" spans="2:23">
      <c r="B63" s="65"/>
      <c r="C63" s="44"/>
      <c r="D63" s="44"/>
      <c r="E63" s="40"/>
      <c r="F63" s="316" t="str">
        <f>IF(K8&lt;Annexes!S28,"CA moyen sur un mois :","")</f>
        <v>CA moyen sur un mois :</v>
      </c>
      <c r="G63" s="316"/>
      <c r="H63" s="316"/>
      <c r="I63" s="50">
        <f>IF(AND(K8&gt;Annexes!S14,K8&lt;Annexes!S28),I61*360/(Annexes!S28-K8+1)/12,I61/12)</f>
        <v>0</v>
      </c>
      <c r="J63" s="206"/>
      <c r="K63" s="44"/>
      <c r="L63" s="40"/>
      <c r="M63" s="54" t="str">
        <f>IF(OR(Annexes!M13=TRUE,AND(Annexes!F7&gt;1,Annexes!F7&lt;=Annexes!H8)),IF(AND(K8&gt;Annexes!S14,K8&lt;Annexes!S20),M61*360/(Annexes!S28-K8+1)/12,M61/12),"")</f>
        <v/>
      </c>
      <c r="N63" s="40"/>
      <c r="O63" s="319"/>
      <c r="P63" s="319"/>
      <c r="Q63" s="68"/>
      <c r="R63" s="150"/>
      <c r="S63" s="307"/>
      <c r="T63" s="308"/>
      <c r="U63" s="308"/>
      <c r="V63" s="308"/>
      <c r="W63" s="309"/>
    </row>
    <row r="64" spans="2:23">
      <c r="B64" s="65"/>
      <c r="C64" s="44"/>
      <c r="D64" s="44"/>
      <c r="E64" s="64"/>
      <c r="F64" s="64"/>
      <c r="G64" s="64"/>
      <c r="H64" s="64"/>
      <c r="I64" s="64"/>
      <c r="J64" s="64"/>
      <c r="K64" s="64"/>
      <c r="L64" s="64"/>
      <c r="M64" s="64"/>
      <c r="N64" s="64"/>
      <c r="O64" s="40"/>
      <c r="P64" s="40"/>
      <c r="Q64" s="68"/>
      <c r="R64" s="150"/>
      <c r="S64" s="307"/>
      <c r="T64" s="308"/>
      <c r="U64" s="308"/>
      <c r="V64" s="308"/>
      <c r="W64" s="309"/>
    </row>
    <row r="65" spans="2:23" ht="15.75" customHeight="1">
      <c r="B65" s="65"/>
      <c r="C65" s="44"/>
      <c r="D65" s="44"/>
      <c r="E65" s="44"/>
      <c r="F65" s="44"/>
      <c r="G65" s="44"/>
      <c r="H65" s="44"/>
      <c r="I65" s="44"/>
      <c r="J65" s="44"/>
      <c r="K65" s="44"/>
      <c r="L65" s="44"/>
      <c r="M65" s="44"/>
      <c r="N65" s="44"/>
      <c r="O65" s="40"/>
      <c r="P65" s="40"/>
      <c r="Q65" s="68"/>
      <c r="R65" s="150"/>
      <c r="S65" s="307"/>
      <c r="T65" s="308"/>
      <c r="U65" s="308"/>
      <c r="V65" s="308"/>
      <c r="W65" s="309"/>
    </row>
    <row r="66" spans="2:23" ht="15.75" customHeight="1">
      <c r="B66" s="65"/>
      <c r="C66" s="44"/>
      <c r="D66" s="44"/>
      <c r="E66" s="44"/>
      <c r="F66" s="44"/>
      <c r="G66" s="44"/>
      <c r="H66" s="44"/>
      <c r="I66" s="44"/>
      <c r="J66" s="44"/>
      <c r="K66" s="44"/>
      <c r="L66" s="44"/>
      <c r="M66" s="44"/>
      <c r="N66" s="44"/>
      <c r="O66" s="40"/>
      <c r="P66" s="40"/>
      <c r="Q66" s="68"/>
      <c r="R66" s="150"/>
      <c r="S66" s="304"/>
      <c r="T66" s="305"/>
      <c r="U66" s="305"/>
      <c r="V66" s="305"/>
      <c r="W66" s="306"/>
    </row>
    <row r="67" spans="2:23">
      <c r="B67" s="65"/>
      <c r="C67" s="44"/>
      <c r="D67" s="44"/>
      <c r="E67" s="301" t="s">
        <v>44</v>
      </c>
      <c r="F67" s="301"/>
      <c r="G67" s="301"/>
      <c r="H67" s="301"/>
      <c r="I67" s="301"/>
      <c r="J67" s="301"/>
      <c r="K67" s="324" t="s">
        <v>123</v>
      </c>
      <c r="L67" s="325"/>
      <c r="M67" s="325"/>
      <c r="N67" s="325"/>
      <c r="O67" s="325"/>
      <c r="P67" s="325"/>
      <c r="Q67" s="68"/>
      <c r="R67" s="150"/>
      <c r="S67" s="307"/>
      <c r="T67" s="308"/>
      <c r="U67" s="308"/>
      <c r="V67" s="308"/>
      <c r="W67" s="309"/>
    </row>
    <row r="68" spans="2:23">
      <c r="B68" s="65"/>
      <c r="C68" s="44"/>
      <c r="D68" s="44"/>
      <c r="E68" s="211"/>
      <c r="F68" s="211"/>
      <c r="G68" s="211"/>
      <c r="H68" s="211"/>
      <c r="I68" s="211"/>
      <c r="J68" s="221"/>
      <c r="K68" s="324"/>
      <c r="L68" s="325"/>
      <c r="M68" s="325"/>
      <c r="N68" s="325"/>
      <c r="O68" s="325"/>
      <c r="P68" s="325"/>
      <c r="Q68" s="68"/>
      <c r="R68" s="150"/>
      <c r="S68" s="304"/>
      <c r="T68" s="305"/>
      <c r="U68" s="305"/>
      <c r="V68" s="305"/>
      <c r="W68" s="306"/>
    </row>
    <row r="69" spans="2:23">
      <c r="B69" s="65"/>
      <c r="C69" s="44"/>
      <c r="D69" s="44"/>
      <c r="E69" s="40"/>
      <c r="F69" s="49"/>
      <c r="G69" s="49"/>
      <c r="H69" s="298" t="s">
        <v>91</v>
      </c>
      <c r="I69" s="298"/>
      <c r="J69" s="298"/>
      <c r="K69" s="185"/>
      <c r="L69" s="298" t="s">
        <v>92</v>
      </c>
      <c r="M69" s="298"/>
      <c r="N69" s="298"/>
      <c r="O69" s="298"/>
      <c r="P69" s="49"/>
      <c r="Q69" s="68"/>
      <c r="R69" s="150"/>
      <c r="S69" s="307"/>
      <c r="T69" s="308"/>
      <c r="U69" s="308"/>
      <c r="V69" s="308"/>
      <c r="W69" s="309"/>
    </row>
    <row r="70" spans="2:23" ht="15.75" thickBot="1">
      <c r="B70" s="65"/>
      <c r="C70" s="44"/>
      <c r="D70" s="44"/>
      <c r="E70" s="40"/>
      <c r="F70" s="40"/>
      <c r="G70" s="40"/>
      <c r="H70" s="40"/>
      <c r="I70" s="40"/>
      <c r="J70" s="65"/>
      <c r="K70" s="44"/>
      <c r="L70" s="40"/>
      <c r="M70" s="40"/>
      <c r="N70" s="40"/>
      <c r="O70" s="40"/>
      <c r="P70" s="40"/>
      <c r="Q70" s="68"/>
      <c r="R70" s="150"/>
      <c r="S70" s="307"/>
      <c r="T70" s="308"/>
      <c r="U70" s="308"/>
      <c r="V70" s="308"/>
      <c r="W70" s="309"/>
    </row>
    <row r="71" spans="2:23" ht="15" customHeight="1" thickBot="1">
      <c r="B71" s="65"/>
      <c r="C71" s="44"/>
      <c r="D71" s="44"/>
      <c r="E71" s="158" t="str">
        <f>IF(Annexes!M5=FALSE,"- Fermeture en Septembre :",IF(Annexes!O5=1,"- Fermeture en Septembre :","- Septembre sur le nb de jours :"))</f>
        <v>- Fermeture en Septembre :</v>
      </c>
      <c r="F71" s="158"/>
      <c r="G71" s="158"/>
      <c r="H71" s="40"/>
      <c r="I71" s="114">
        <v>0</v>
      </c>
      <c r="J71" s="65"/>
      <c r="K71" s="44"/>
      <c r="L71" s="40"/>
      <c r="M71" s="114">
        <v>0</v>
      </c>
      <c r="N71" s="90"/>
      <c r="O71" s="40"/>
      <c r="P71" s="136"/>
      <c r="Q71" s="68"/>
      <c r="R71" s="150"/>
      <c r="S71" s="307"/>
      <c r="T71" s="308"/>
      <c r="U71" s="308"/>
      <c r="V71" s="308"/>
      <c r="W71" s="309"/>
    </row>
    <row r="72" spans="2:23">
      <c r="B72" s="65"/>
      <c r="C72" s="44"/>
      <c r="D72" s="44"/>
      <c r="E72" s="292" t="str">
        <f>IF(Annexes!M5=FALSE,"Non-Concerné",IF(Annexes!O5=1,"Non-Concerné","Seulement le CA sur le nombre de jours de fermeture administrative"))</f>
        <v>Non-Concerné</v>
      </c>
      <c r="F72" s="292"/>
      <c r="G72" s="292"/>
      <c r="H72" s="292"/>
      <c r="I72" s="292"/>
      <c r="J72" s="293"/>
      <c r="K72" s="44"/>
      <c r="L72" s="40"/>
      <c r="M72" s="51"/>
      <c r="N72" s="40"/>
      <c r="O72" s="40"/>
      <c r="P72" s="136"/>
      <c r="Q72" s="68"/>
      <c r="R72" s="150"/>
      <c r="S72" s="307"/>
      <c r="T72" s="308"/>
      <c r="U72" s="308"/>
      <c r="V72" s="308"/>
      <c r="W72" s="309"/>
    </row>
    <row r="73" spans="2:23" ht="15.75" customHeight="1" thickBot="1">
      <c r="B73" s="65"/>
      <c r="C73" s="44"/>
      <c r="D73" s="44"/>
      <c r="E73" s="52"/>
      <c r="F73" s="52"/>
      <c r="G73" s="52"/>
      <c r="H73" s="52"/>
      <c r="I73" s="52"/>
      <c r="J73" s="65"/>
      <c r="K73" s="44"/>
      <c r="L73" s="40"/>
      <c r="M73" s="51"/>
      <c r="N73" s="40"/>
      <c r="O73" s="40"/>
      <c r="P73" s="136"/>
      <c r="Q73" s="68"/>
      <c r="R73" s="150"/>
      <c r="S73" s="307"/>
      <c r="T73" s="308"/>
      <c r="U73" s="308"/>
      <c r="V73" s="308"/>
      <c r="W73" s="309"/>
    </row>
    <row r="74" spans="2:23" ht="15.75" thickBot="1">
      <c r="B74" s="65"/>
      <c r="C74" s="44"/>
      <c r="D74" s="44"/>
      <c r="E74" s="160" t="str">
        <f>IF(Annexes!M5=FALSE,"- Fermeture en Octobre :",IF(Annexes!Q5=1,"- Fermeture en Octobre :","- Octobre sur le nb de jours :"))</f>
        <v>- Fermeture en Octobre :</v>
      </c>
      <c r="F74" s="159"/>
      <c r="G74" s="159"/>
      <c r="H74" s="52"/>
      <c r="I74" s="114">
        <v>0</v>
      </c>
      <c r="J74" s="65"/>
      <c r="K74" s="44"/>
      <c r="L74" s="40"/>
      <c r="M74" s="114">
        <v>0</v>
      </c>
      <c r="N74" s="90"/>
      <c r="O74" s="40"/>
      <c r="P74" s="136"/>
      <c r="Q74" s="68"/>
      <c r="R74" s="150"/>
      <c r="S74" s="307"/>
      <c r="T74" s="308"/>
      <c r="U74" s="308"/>
      <c r="V74" s="308"/>
      <c r="W74" s="309"/>
    </row>
    <row r="75" spans="2:23">
      <c r="B75" s="65"/>
      <c r="C75" s="44"/>
      <c r="D75" s="44"/>
      <c r="E75" s="290" t="str">
        <f>IF(Annexes!M5=FALSE,"Non-Concerné",IF(Annexes!Q5=1,"Non-Concerné","Seulement le CA sur le nombre de jours de fermeture administrative"))</f>
        <v>Non-Concerné</v>
      </c>
      <c r="F75" s="290"/>
      <c r="G75" s="290"/>
      <c r="H75" s="290"/>
      <c r="I75" s="290"/>
      <c r="J75" s="291"/>
      <c r="K75" s="44"/>
      <c r="L75" s="40"/>
      <c r="M75" s="51"/>
      <c r="N75" s="40"/>
      <c r="O75" s="40"/>
      <c r="P75" s="136"/>
      <c r="Q75" s="68"/>
      <c r="R75" s="150"/>
      <c r="S75" s="307"/>
      <c r="T75" s="308"/>
      <c r="U75" s="308"/>
      <c r="V75" s="308"/>
      <c r="W75" s="309"/>
    </row>
    <row r="76" spans="2:23" ht="15.75" thickBot="1">
      <c r="B76" s="65"/>
      <c r="C76" s="44"/>
      <c r="D76" s="44"/>
      <c r="E76" s="40"/>
      <c r="F76" s="40"/>
      <c r="G76" s="40"/>
      <c r="H76" s="40"/>
      <c r="I76" s="40"/>
      <c r="J76" s="65"/>
      <c r="K76" s="44"/>
      <c r="L76" s="40"/>
      <c r="M76" s="40"/>
      <c r="N76" s="40"/>
      <c r="O76" s="40"/>
      <c r="P76" s="40"/>
      <c r="Q76" s="68"/>
      <c r="R76" s="150"/>
      <c r="S76" s="307"/>
      <c r="T76" s="308"/>
      <c r="U76" s="308"/>
      <c r="V76" s="308"/>
      <c r="W76" s="309"/>
    </row>
    <row r="77" spans="2:23" ht="15.75" thickBot="1">
      <c r="B77" s="65"/>
      <c r="C77" s="44"/>
      <c r="D77" s="44"/>
      <c r="E77" s="299" t="s">
        <v>16</v>
      </c>
      <c r="F77" s="299"/>
      <c r="G77" s="40"/>
      <c r="H77" s="40"/>
      <c r="I77" s="114">
        <v>0</v>
      </c>
      <c r="J77" s="65"/>
      <c r="K77" s="44"/>
      <c r="L77" s="40"/>
      <c r="M77" s="114">
        <v>0</v>
      </c>
      <c r="N77" s="88"/>
      <c r="O77" s="53"/>
      <c r="P77" s="40"/>
      <c r="Q77" s="68"/>
      <c r="R77" s="150"/>
      <c r="S77" s="307"/>
      <c r="T77" s="308"/>
      <c r="U77" s="308"/>
      <c r="V77" s="308"/>
      <c r="W77" s="309"/>
    </row>
    <row r="78" spans="2:23" ht="15.75" thickBot="1">
      <c r="B78" s="65"/>
      <c r="C78" s="44"/>
      <c r="D78" s="44"/>
      <c r="E78" s="40"/>
      <c r="F78" s="40"/>
      <c r="G78" s="40"/>
      <c r="H78" s="40"/>
      <c r="I78" s="40"/>
      <c r="J78" s="65"/>
      <c r="K78" s="44"/>
      <c r="L78" s="40"/>
      <c r="M78" s="40"/>
      <c r="N78" s="40"/>
      <c r="O78" s="40"/>
      <c r="P78" s="40"/>
      <c r="Q78" s="68"/>
      <c r="R78" s="150"/>
      <c r="S78" s="307"/>
      <c r="T78" s="308"/>
      <c r="U78" s="308"/>
      <c r="V78" s="308"/>
      <c r="W78" s="309"/>
    </row>
    <row r="79" spans="2:23" ht="15.75" thickBot="1">
      <c r="B79" s="65"/>
      <c r="C79" s="44"/>
      <c r="D79" s="44"/>
      <c r="E79" s="299" t="s">
        <v>17</v>
      </c>
      <c r="F79" s="299"/>
      <c r="G79" s="40"/>
      <c r="H79" s="40"/>
      <c r="I79" s="114">
        <v>0</v>
      </c>
      <c r="J79" s="65"/>
      <c r="K79" s="44"/>
      <c r="L79" s="40"/>
      <c r="M79" s="114">
        <v>0</v>
      </c>
      <c r="N79" s="88"/>
      <c r="O79" s="54"/>
      <c r="P79" s="40"/>
      <c r="Q79" s="68"/>
      <c r="R79" s="150"/>
      <c r="S79" s="307"/>
      <c r="T79" s="308"/>
      <c r="U79" s="308"/>
      <c r="V79" s="308"/>
      <c r="W79" s="309"/>
    </row>
    <row r="80" spans="2:23" ht="15.75" thickBot="1">
      <c r="B80" s="65"/>
      <c r="C80" s="44"/>
      <c r="D80" s="44"/>
      <c r="E80" s="40"/>
      <c r="F80" s="40"/>
      <c r="G80" s="40"/>
      <c r="H80" s="40"/>
      <c r="I80" s="40"/>
      <c r="J80" s="65"/>
      <c r="K80" s="44"/>
      <c r="L80" s="40"/>
      <c r="M80" s="40"/>
      <c r="N80" s="40"/>
      <c r="O80" s="40"/>
      <c r="P80" s="40"/>
      <c r="Q80" s="68"/>
      <c r="R80" s="150"/>
      <c r="S80" s="307"/>
      <c r="T80" s="308"/>
      <c r="U80" s="308"/>
      <c r="V80" s="308"/>
      <c r="W80" s="309"/>
    </row>
    <row r="81" spans="2:23" ht="15.75" thickBot="1">
      <c r="B81" s="65"/>
      <c r="C81" s="44"/>
      <c r="D81" s="44"/>
      <c r="E81" s="168" t="s">
        <v>98</v>
      </c>
      <c r="F81" s="40"/>
      <c r="G81" s="40"/>
      <c r="H81" s="40"/>
      <c r="I81" s="114">
        <v>0</v>
      </c>
      <c r="J81" s="65"/>
      <c r="K81" s="44"/>
      <c r="L81" s="40"/>
      <c r="M81" s="114">
        <v>0</v>
      </c>
      <c r="N81" s="40"/>
      <c r="O81" s="40"/>
      <c r="P81" s="40"/>
      <c r="Q81" s="68"/>
      <c r="R81" s="150"/>
      <c r="S81" s="307"/>
      <c r="T81" s="308"/>
      <c r="U81" s="308"/>
      <c r="V81" s="308"/>
      <c r="W81" s="309"/>
    </row>
    <row r="82" spans="2:23" ht="15.75" customHeight="1" thickBot="1">
      <c r="B82" s="65"/>
      <c r="C82" s="44"/>
      <c r="D82" s="44"/>
      <c r="E82" s="40"/>
      <c r="F82" s="40"/>
      <c r="G82" s="40"/>
      <c r="H82" s="40"/>
      <c r="I82" s="40"/>
      <c r="J82" s="65"/>
      <c r="K82" s="44"/>
      <c r="L82" s="40"/>
      <c r="M82" s="40"/>
      <c r="N82" s="40"/>
      <c r="O82" s="40"/>
      <c r="P82" s="40"/>
      <c r="Q82" s="68"/>
      <c r="R82" s="150"/>
      <c r="S82" s="307"/>
      <c r="T82" s="308"/>
      <c r="U82" s="308"/>
      <c r="V82" s="308"/>
      <c r="W82" s="309"/>
    </row>
    <row r="83" spans="2:23" ht="15.75" customHeight="1" thickBot="1">
      <c r="B83" s="65"/>
      <c r="C83" s="44"/>
      <c r="D83" s="44"/>
      <c r="E83" s="300" t="s">
        <v>18</v>
      </c>
      <c r="F83" s="300"/>
      <c r="G83" s="300"/>
      <c r="H83" s="40"/>
      <c r="I83" s="114">
        <f>I63*2</f>
        <v>0</v>
      </c>
      <c r="J83" s="89" t="str">
        <f>IF('Mon Entreprise'!K8&lt;Annexes!S17,"*","")</f>
        <v>*</v>
      </c>
      <c r="K83" s="44"/>
      <c r="L83" s="40"/>
      <c r="M83" s="114">
        <v>0</v>
      </c>
      <c r="N83" s="88"/>
      <c r="O83" s="40"/>
      <c r="P83" s="40"/>
      <c r="Q83" s="68"/>
      <c r="R83" s="150"/>
      <c r="S83" s="307"/>
      <c r="T83" s="308"/>
      <c r="U83" s="308"/>
      <c r="V83" s="308"/>
      <c r="W83" s="309"/>
    </row>
    <row r="84" spans="2:23">
      <c r="B84" s="65"/>
      <c r="C84" s="44"/>
      <c r="D84" s="44"/>
      <c r="E84" s="292" t="str">
        <f>IF(AND(Annexes!F7&gt;1,Annexes!F7&lt;=Annexes!H8),"","Non-Concerné")</f>
        <v>Non-Concerné</v>
      </c>
      <c r="F84" s="292"/>
      <c r="G84" s="292"/>
      <c r="H84" s="40"/>
      <c r="I84" s="51"/>
      <c r="J84" s="89"/>
      <c r="K84" s="44"/>
      <c r="L84" s="40"/>
      <c r="M84" s="40"/>
      <c r="N84" s="40"/>
      <c r="O84" s="40"/>
      <c r="P84" s="40"/>
      <c r="Q84" s="68"/>
      <c r="R84" s="150"/>
      <c r="S84" s="307"/>
      <c r="T84" s="308"/>
      <c r="U84" s="308"/>
      <c r="V84" s="308"/>
      <c r="W84" s="309"/>
    </row>
    <row r="85" spans="2:23">
      <c r="B85" s="65"/>
      <c r="C85" s="44"/>
      <c r="D85" s="44"/>
      <c r="E85" s="210"/>
      <c r="F85" s="210"/>
      <c r="G85" s="210"/>
      <c r="H85" s="40"/>
      <c r="I85" s="51"/>
      <c r="J85" s="89"/>
      <c r="K85" s="44"/>
      <c r="L85" s="298" t="s">
        <v>124</v>
      </c>
      <c r="M85" s="298"/>
      <c r="N85" s="298"/>
      <c r="O85" s="298"/>
      <c r="P85" s="40"/>
      <c r="Q85" s="68"/>
      <c r="R85" s="150"/>
      <c r="S85" s="304"/>
      <c r="T85" s="305"/>
      <c r="U85" s="305"/>
      <c r="V85" s="305"/>
      <c r="W85" s="306"/>
    </row>
    <row r="86" spans="2:23" ht="15.75" thickBot="1">
      <c r="B86" s="65"/>
      <c r="C86" s="44"/>
      <c r="D86" s="44"/>
      <c r="E86" s="210"/>
      <c r="F86" s="210"/>
      <c r="G86" s="210"/>
      <c r="H86" s="40"/>
      <c r="I86" s="51"/>
      <c r="J86" s="89"/>
      <c r="K86" s="44"/>
      <c r="L86" s="40"/>
      <c r="M86" s="40"/>
      <c r="N86" s="40"/>
      <c r="O86" s="40"/>
      <c r="P86" s="40"/>
      <c r="Q86" s="68"/>
      <c r="R86" s="150"/>
      <c r="S86" s="304"/>
      <c r="T86" s="305"/>
      <c r="U86" s="305"/>
      <c r="V86" s="305"/>
      <c r="W86" s="306"/>
    </row>
    <row r="87" spans="2:23" ht="15.75" thickBot="1">
      <c r="B87" s="65"/>
      <c r="C87" s="44"/>
      <c r="D87" s="44"/>
      <c r="E87" s="168" t="s">
        <v>125</v>
      </c>
      <c r="F87" s="40"/>
      <c r="G87" s="40"/>
      <c r="H87" s="40"/>
      <c r="I87" s="114">
        <v>0</v>
      </c>
      <c r="J87" s="65"/>
      <c r="K87" s="44"/>
      <c r="L87" s="40"/>
      <c r="M87" s="114">
        <v>0</v>
      </c>
      <c r="N87" s="40"/>
      <c r="O87" s="40"/>
      <c r="P87" s="40"/>
      <c r="Q87" s="68"/>
      <c r="R87" s="150"/>
      <c r="S87" s="304"/>
      <c r="T87" s="305"/>
      <c r="U87" s="305"/>
      <c r="V87" s="305"/>
      <c r="W87" s="306"/>
    </row>
    <row r="88" spans="2:23" ht="15.75" thickBot="1">
      <c r="B88" s="65"/>
      <c r="C88" s="44"/>
      <c r="D88" s="44"/>
      <c r="E88" s="40"/>
      <c r="F88" s="40"/>
      <c r="G88" s="40"/>
      <c r="H88" s="40"/>
      <c r="I88" s="40"/>
      <c r="J88" s="65"/>
      <c r="K88" s="44"/>
      <c r="L88" s="40"/>
      <c r="M88" s="40"/>
      <c r="N88" s="44"/>
      <c r="O88" s="40"/>
      <c r="P88" s="40"/>
      <c r="Q88" s="68"/>
      <c r="R88" s="150"/>
      <c r="S88" s="307"/>
      <c r="T88" s="308"/>
      <c r="U88" s="308"/>
      <c r="V88" s="308"/>
      <c r="W88" s="309"/>
    </row>
    <row r="89" spans="2:23" ht="15.75" thickBot="1">
      <c r="B89" s="65"/>
      <c r="C89" s="44"/>
      <c r="D89" s="44"/>
      <c r="E89" s="168" t="s">
        <v>315</v>
      </c>
      <c r="F89" s="40"/>
      <c r="G89" s="40"/>
      <c r="H89" s="40"/>
      <c r="I89" s="114">
        <v>0</v>
      </c>
      <c r="J89" s="65"/>
      <c r="K89" s="44"/>
      <c r="L89" s="40"/>
      <c r="M89" s="114">
        <v>0</v>
      </c>
      <c r="N89" s="44"/>
      <c r="O89" s="40"/>
      <c r="P89" s="40"/>
      <c r="Q89" s="68"/>
      <c r="R89" s="150"/>
      <c r="S89" s="304"/>
      <c r="T89" s="305"/>
      <c r="U89" s="305"/>
      <c r="V89" s="305"/>
      <c r="W89" s="306"/>
    </row>
    <row r="90" spans="2:23">
      <c r="B90" s="65"/>
      <c r="C90" s="44"/>
      <c r="D90" s="44"/>
      <c r="E90" s="40"/>
      <c r="F90" s="40"/>
      <c r="G90" s="40"/>
      <c r="H90" s="40"/>
      <c r="I90" s="40"/>
      <c r="J90" s="40"/>
      <c r="K90" s="40"/>
      <c r="L90" s="40"/>
      <c r="M90" s="40"/>
      <c r="N90" s="40"/>
      <c r="O90" s="40"/>
      <c r="P90" s="40"/>
      <c r="Q90" s="68"/>
      <c r="R90" s="150"/>
      <c r="S90" s="307"/>
      <c r="T90" s="308"/>
      <c r="U90" s="308"/>
      <c r="V90" s="308"/>
      <c r="W90" s="309"/>
    </row>
    <row r="91" spans="2:23">
      <c r="B91" s="65"/>
      <c r="C91" s="44"/>
      <c r="D91" s="44"/>
      <c r="E91" s="40"/>
      <c r="F91" s="40"/>
      <c r="G91" s="40"/>
      <c r="H91" s="40"/>
      <c r="I91" s="40"/>
      <c r="J91" s="40"/>
      <c r="K91" s="40"/>
      <c r="L91" s="40"/>
      <c r="M91" s="40"/>
      <c r="N91" s="40"/>
      <c r="O91" s="40"/>
      <c r="P91" s="40"/>
      <c r="Q91" s="68"/>
      <c r="R91" s="150"/>
      <c r="S91" s="304"/>
      <c r="T91" s="305"/>
      <c r="U91" s="305"/>
      <c r="V91" s="305"/>
      <c r="W91" s="306"/>
    </row>
    <row r="92" spans="2:23">
      <c r="B92" s="65"/>
      <c r="C92" s="44"/>
      <c r="D92" s="44"/>
      <c r="E92" s="289" t="str">
        <f>IF(K8&lt;Annexes!S17,"A compléter seulement en cas de création d'activité à partir du 1er Janvier 2019","En cas de création d'activité à partir du 1er Janvier 2019")</f>
        <v>A compléter seulement en cas de création d'activité à partir du 1er Janvier 2019</v>
      </c>
      <c r="F92" s="289"/>
      <c r="G92" s="289"/>
      <c r="H92" s="289"/>
      <c r="I92" s="289"/>
      <c r="J92" s="289"/>
      <c r="K92" s="289"/>
      <c r="L92" s="289"/>
      <c r="M92" s="289"/>
      <c r="N92" s="289"/>
      <c r="O92" s="40"/>
      <c r="P92" s="40"/>
      <c r="Q92" s="68"/>
      <c r="R92" s="150"/>
      <c r="S92" s="307"/>
      <c r="T92" s="308"/>
      <c r="U92" s="308"/>
      <c r="V92" s="308"/>
      <c r="W92" s="309"/>
    </row>
    <row r="93" spans="2:23">
      <c r="B93" s="65"/>
      <c r="C93" s="44"/>
      <c r="D93" s="44"/>
      <c r="E93" s="40"/>
      <c r="F93" s="40"/>
      <c r="G93" s="40"/>
      <c r="H93" s="40"/>
      <c r="I93" s="51"/>
      <c r="J93" s="40"/>
      <c r="K93" s="40"/>
      <c r="L93" s="40"/>
      <c r="M93" s="40"/>
      <c r="N93" s="262"/>
      <c r="O93" s="40"/>
      <c r="P93" s="40"/>
      <c r="Q93" s="68"/>
      <c r="R93" s="150"/>
      <c r="S93" s="304"/>
      <c r="T93" s="305"/>
      <c r="U93" s="305"/>
      <c r="V93" s="305"/>
      <c r="W93" s="306"/>
    </row>
    <row r="94" spans="2:23">
      <c r="B94" s="65"/>
      <c r="C94" s="44"/>
      <c r="D94" s="44"/>
      <c r="E94" s="288" t="str">
        <f>IF(K8&gt;Annexes!U26,"",IF(K8&gt;=Annexes!S20,"Aide pour Janvier et Février 2021 :",""))</f>
        <v/>
      </c>
      <c r="F94" s="287"/>
      <c r="G94" s="287"/>
      <c r="H94" s="287"/>
      <c r="I94" s="287"/>
      <c r="J94" s="287"/>
      <c r="K94" s="40"/>
      <c r="L94" s="40"/>
      <c r="M94" s="40"/>
      <c r="N94" s="262"/>
      <c r="O94" s="40"/>
      <c r="P94" s="40"/>
      <c r="Q94" s="68"/>
      <c r="R94" s="150"/>
      <c r="S94" s="304"/>
      <c r="T94" s="305"/>
      <c r="U94" s="305"/>
      <c r="V94" s="305"/>
      <c r="W94" s="306"/>
    </row>
    <row r="95" spans="2:23" ht="15.75" thickBot="1">
      <c r="B95" s="65"/>
      <c r="C95" s="44"/>
      <c r="D95" s="44"/>
      <c r="E95" s="286" t="str">
        <f>IF(K8&gt;Annexes!U26,"",IF(K8&gt;=Annexes!U25,"Entreprise créée entre le 1er et le 30 Octobre 2020 :",IF(K8&gt;=Annexes!U18,"Entreprise créée entre le 1er Mars le 30 Septembre 2020 :",IF(K8&gt;=Annexes!U16,"Entreprise créée entre le 1er et le 29 février 2020 :",IF(K8&gt;=Annexes!S20,"Entreprise créée entre le 1er Juin 2019 et le 31 Janvier 2020 :","")))))</f>
        <v/>
      </c>
      <c r="F95" s="286"/>
      <c r="G95" s="286"/>
      <c r="H95" s="286"/>
      <c r="I95" s="286"/>
      <c r="J95" s="286"/>
      <c r="K95" s="40"/>
      <c r="L95" s="40"/>
      <c r="M95" s="40"/>
      <c r="N95" s="262"/>
      <c r="O95" s="40"/>
      <c r="P95" s="40"/>
      <c r="Q95" s="68"/>
      <c r="R95" s="150"/>
      <c r="S95" s="304"/>
      <c r="T95" s="305"/>
      <c r="U95" s="305"/>
      <c r="V95" s="305"/>
      <c r="W95" s="306"/>
    </row>
    <row r="96" spans="2:23" ht="15.75" thickBot="1">
      <c r="B96" s="65"/>
      <c r="C96" s="44"/>
      <c r="D96" s="44"/>
      <c r="E96" s="286" t="str">
        <f>IF(K8&gt;Annexes!U26,"",IF(K8&gt;=Annexes!U25,"- Chiffre d'affaires du mois de Décembre 2020",IF(K8&gt;=Annexes!U18,"- Chiffre d'affaire sentre la création et le 31 Octobre 2020 :",IF(K8&gt;=Annexes!U16,"- Chiffre d'affaires du mois de février 2020 :",IF(K8&gt;=Annexes!S20,"- Chiffre d'affaires entre la création et le 29 février 2020 :","")))))</f>
        <v/>
      </c>
      <c r="F96" s="286"/>
      <c r="G96" s="286"/>
      <c r="H96" s="286"/>
      <c r="I96" s="286"/>
      <c r="J96" s="286"/>
      <c r="K96" s="40"/>
      <c r="L96" s="40"/>
      <c r="M96" s="114">
        <v>0</v>
      </c>
      <c r="N96" s="262"/>
      <c r="O96" s="40"/>
      <c r="P96" s="40"/>
      <c r="Q96" s="68"/>
      <c r="R96" s="150"/>
      <c r="S96" s="304"/>
      <c r="T96" s="305"/>
      <c r="U96" s="305"/>
      <c r="V96" s="305"/>
      <c r="W96" s="306"/>
    </row>
    <row r="97" spans="2:23">
      <c r="B97" s="65"/>
      <c r="C97" s="44"/>
      <c r="D97" s="44"/>
      <c r="E97" s="264" t="str">
        <f>IF(K8&gt;Annexes!U26,"",IF(K8&gt;=Annexes!U25,"ou, en cas d'interdiction d'accueil du public, le chiffre d'affaires du mois d'Octobre 2020 ramené sur un mois",""))</f>
        <v/>
      </c>
      <c r="F97" s="40"/>
      <c r="G97" s="40"/>
      <c r="H97" s="40"/>
      <c r="I97" s="51"/>
      <c r="J97" s="40"/>
      <c r="K97" s="40"/>
      <c r="L97" s="40"/>
      <c r="M97" s="40"/>
      <c r="N97" s="262"/>
      <c r="O97" s="40"/>
      <c r="P97" s="40"/>
      <c r="Q97" s="68"/>
      <c r="R97" s="150"/>
      <c r="S97" s="304"/>
      <c r="T97" s="305"/>
      <c r="U97" s="305"/>
      <c r="V97" s="305"/>
      <c r="W97" s="306"/>
    </row>
    <row r="98" spans="2:23">
      <c r="B98" s="65"/>
      <c r="C98" s="44"/>
      <c r="D98" s="44"/>
      <c r="E98" s="40"/>
      <c r="F98" s="294" t="str">
        <f>IF(K8&gt;Annexes!U26,"",IF(K8&gt;=Annexes!S14,"CA moyen sur un mois :",""))</f>
        <v/>
      </c>
      <c r="G98" s="294"/>
      <c r="H98" s="294"/>
      <c r="I98" s="51" t="str">
        <f>IFERROR(IF(K8&gt;Annexes!U26,"",IF(K8&gt;=Annexes!U22,M96,IF(K8&gt;=Annexes!U18,M96*360/(Annexes!U26-K8+1)/12,IF(K8&gt;=Annexes!U16,M96*360/(Annexes!U17-K8+1)/12,IF(K8&gt;=Annexes!S20,M96*360/(Annexes!U17-K8+1)/12,""))))),0)</f>
        <v/>
      </c>
      <c r="J98" s="40"/>
      <c r="K98" s="40"/>
      <c r="L98" s="40"/>
      <c r="M98" s="40"/>
      <c r="N98" s="262"/>
      <c r="O98" s="40"/>
      <c r="P98" s="40"/>
      <c r="Q98" s="68"/>
      <c r="R98" s="150"/>
      <c r="S98" s="304"/>
      <c r="T98" s="305"/>
      <c r="U98" s="305"/>
      <c r="V98" s="305"/>
      <c r="W98" s="306"/>
    </row>
    <row r="99" spans="2:23">
      <c r="B99" s="65"/>
      <c r="C99" s="44"/>
      <c r="D99" s="44"/>
      <c r="E99" s="64"/>
      <c r="F99" s="64"/>
      <c r="G99" s="64"/>
      <c r="H99" s="64"/>
      <c r="I99" s="182"/>
      <c r="J99" s="64"/>
      <c r="K99" s="64"/>
      <c r="L99" s="64"/>
      <c r="M99" s="64"/>
      <c r="N99" s="262"/>
      <c r="O99" s="40"/>
      <c r="P99" s="40"/>
      <c r="Q99" s="68"/>
      <c r="R99" s="150"/>
      <c r="S99" s="304"/>
      <c r="T99" s="305"/>
      <c r="U99" s="305"/>
      <c r="V99" s="305"/>
      <c r="W99" s="306"/>
    </row>
    <row r="100" spans="2:23">
      <c r="B100" s="65"/>
      <c r="C100" s="44"/>
      <c r="D100" s="44"/>
      <c r="E100" s="40"/>
      <c r="F100" s="40"/>
      <c r="G100" s="40"/>
      <c r="H100" s="40"/>
      <c r="I100" s="51"/>
      <c r="J100" s="40"/>
      <c r="K100" s="40"/>
      <c r="L100" s="40"/>
      <c r="M100" s="40"/>
      <c r="N100" s="58"/>
      <c r="O100" s="40"/>
      <c r="P100" s="40"/>
      <c r="Q100" s="68"/>
      <c r="R100" s="150"/>
      <c r="S100" s="307"/>
      <c r="T100" s="308"/>
      <c r="U100" s="308"/>
      <c r="V100" s="308"/>
      <c r="W100" s="309"/>
    </row>
    <row r="101" spans="2:23">
      <c r="B101" s="65"/>
      <c r="C101" s="44"/>
      <c r="D101" s="44"/>
      <c r="E101" s="287" t="str">
        <f>IF(K8&gt;Annexes!U24,"",IF(K8&gt;=Annexes!S20,"Aide pour Décembre 2020 :",""))</f>
        <v/>
      </c>
      <c r="F101" s="287"/>
      <c r="G101" s="287"/>
      <c r="H101" s="287"/>
      <c r="I101" s="287"/>
      <c r="J101" s="287"/>
      <c r="K101" s="40"/>
      <c r="L101" s="40"/>
      <c r="M101" s="40"/>
      <c r="N101" s="58"/>
      <c r="O101" s="40"/>
      <c r="P101" s="40"/>
      <c r="Q101" s="68"/>
      <c r="R101" s="150"/>
      <c r="S101" s="307"/>
      <c r="T101" s="308"/>
      <c r="U101" s="308"/>
      <c r="V101" s="308"/>
      <c r="W101" s="309"/>
    </row>
    <row r="102" spans="2:23" ht="15.75" thickBot="1">
      <c r="B102" s="65"/>
      <c r="C102" s="44"/>
      <c r="D102" s="44"/>
      <c r="E102" s="286" t="str">
        <f>IF(K8&gt;Annexes!U24,"",IF(K8&gt;Annexes!U22,"Entreprise créée entre le 1er Juillet et le 30 Septembre 2020 :",IF(K8&gt;=Annexes!U18,"Entreprise créée entre le 1er Mars le 1er Juillet 2020 :",IF(K8&gt;=Annexes!U16,"Entreprise créée entre le 1er février 2020 et le 29 février 2020 :",IF(K8&gt;=Annexes!S20,"Entreprise créée entre le 1er Juin 2019 et le 31 Janvier 2020 :","")))))</f>
        <v/>
      </c>
      <c r="F102" s="286"/>
      <c r="G102" s="286"/>
      <c r="H102" s="286"/>
      <c r="I102" s="286"/>
      <c r="J102" s="286"/>
      <c r="K102" s="40"/>
      <c r="L102" s="40"/>
      <c r="M102" s="40"/>
      <c r="N102" s="40"/>
      <c r="O102" s="40"/>
      <c r="P102" s="40"/>
      <c r="Q102" s="68"/>
      <c r="R102" s="150"/>
      <c r="S102" s="307"/>
      <c r="T102" s="308"/>
      <c r="U102" s="308"/>
      <c r="V102" s="308"/>
      <c r="W102" s="309"/>
    </row>
    <row r="103" spans="2:23" ht="15.75" thickBot="1">
      <c r="B103" s="65"/>
      <c r="C103" s="44"/>
      <c r="D103" s="44"/>
      <c r="E103" s="286" t="str">
        <f>IF(K8&gt;Annexes!U24,"",IF(K8&gt;Annexes!U22,"- Chiffre d'affaires entre la création et le 31 Octobre 2020 :",IF(K8&gt;=Annexes!U18,"- Chiffre d'affaires entre le 1er Juillet et le 31 Octobre 2020 :",IF(K8&gt;=Annexes!U16,"- Chiffre d'affaires du mois de février 2020 :",IF(K8&gt;=Annexes!S20,"- Chiffre d'affaires entre la création et le 29 février 2020 :","")))))</f>
        <v/>
      </c>
      <c r="F103" s="286"/>
      <c r="G103" s="286"/>
      <c r="H103" s="286"/>
      <c r="I103" s="286"/>
      <c r="J103" s="286"/>
      <c r="K103" s="40"/>
      <c r="L103" s="40"/>
      <c r="M103" s="114">
        <v>0</v>
      </c>
      <c r="N103" s="90" t="str">
        <f>IF(K8&gt;Annexes!U24,"",IF(K8&gt;Annexes!U22,"*",IF(K8&gt;=Annexes!U18,"*",IF(K8&gt;=Annexes!U16,"*",IF(K8&gt;=Annexes!S20,"*","")))))</f>
        <v/>
      </c>
      <c r="O103" s="40"/>
      <c r="P103" s="40"/>
      <c r="Q103" s="68"/>
      <c r="R103" s="150"/>
      <c r="S103" s="307"/>
      <c r="T103" s="308"/>
      <c r="U103" s="308"/>
      <c r="V103" s="308"/>
      <c r="W103" s="309"/>
    </row>
    <row r="104" spans="2:23">
      <c r="B104" s="65"/>
      <c r="C104" s="44"/>
      <c r="D104" s="44"/>
      <c r="E104" s="40"/>
      <c r="F104" s="40"/>
      <c r="G104" s="40"/>
      <c r="H104" s="40"/>
      <c r="I104" s="51"/>
      <c r="J104" s="40"/>
      <c r="K104" s="40"/>
      <c r="L104" s="40"/>
      <c r="M104" s="40"/>
      <c r="N104" s="40"/>
      <c r="O104" s="40"/>
      <c r="P104" s="40"/>
      <c r="Q104" s="68"/>
      <c r="R104" s="150"/>
      <c r="S104" s="307"/>
      <c r="T104" s="308"/>
      <c r="U104" s="308"/>
      <c r="V104" s="308"/>
      <c r="W104" s="309"/>
    </row>
    <row r="105" spans="2:23" ht="15.75" customHeight="1">
      <c r="B105" s="65"/>
      <c r="C105" s="44"/>
      <c r="D105" s="44"/>
      <c r="E105" s="40"/>
      <c r="F105" s="294" t="str">
        <f>IF(K8&gt;Annexes!U24,"",IF(K8&gt;=Annexes!S20,"CA moyen sur un mois :",""))</f>
        <v/>
      </c>
      <c r="G105" s="294"/>
      <c r="H105" s="294"/>
      <c r="I105" s="51" t="str">
        <f>IF(K8&gt;Annexes!U24,"",IF(K8&gt;Annexes!U22,M103*360/(Annexes!U26-K8+1)/12,IF(K8&gt;=Annexes!U18,M103*360/123/12,IF(K8&gt;=Annexes!U16,M103*29/(Annexes!U17-K8+1),IF(K8&gt;=Annexes!S20,M103*360/(Annexes!U17-K8+1)/12,"")))))</f>
        <v/>
      </c>
      <c r="J105" s="40"/>
      <c r="K105" s="40"/>
      <c r="L105" s="40"/>
      <c r="M105" s="40"/>
      <c r="N105" s="40"/>
      <c r="O105" s="40"/>
      <c r="P105" s="40"/>
      <c r="Q105" s="68"/>
      <c r="R105" s="150"/>
      <c r="S105" s="307"/>
      <c r="T105" s="308"/>
      <c r="U105" s="308"/>
      <c r="V105" s="308"/>
      <c r="W105" s="309"/>
    </row>
    <row r="106" spans="2:23" ht="15.75" customHeight="1">
      <c r="B106" s="65"/>
      <c r="C106" s="44"/>
      <c r="D106" s="44"/>
      <c r="E106" s="64"/>
      <c r="F106" s="64"/>
      <c r="G106" s="64"/>
      <c r="H106" s="64"/>
      <c r="I106" s="182"/>
      <c r="J106" s="64"/>
      <c r="K106" s="64"/>
      <c r="L106" s="64"/>
      <c r="M106" s="64"/>
      <c r="N106" s="40"/>
      <c r="O106" s="40"/>
      <c r="P106" s="40"/>
      <c r="Q106" s="68"/>
      <c r="R106" s="150"/>
      <c r="S106" s="307"/>
      <c r="T106" s="308"/>
      <c r="U106" s="308"/>
      <c r="V106" s="308"/>
      <c r="W106" s="309"/>
    </row>
    <row r="107" spans="2:23">
      <c r="B107" s="65"/>
      <c r="C107" s="44"/>
      <c r="D107" s="44"/>
      <c r="E107" s="40"/>
      <c r="F107" s="40"/>
      <c r="G107" s="40"/>
      <c r="H107" s="40"/>
      <c r="I107" s="51"/>
      <c r="J107" s="40"/>
      <c r="K107" s="40"/>
      <c r="L107" s="40"/>
      <c r="M107" s="40"/>
      <c r="N107" s="40"/>
      <c r="O107" s="40"/>
      <c r="P107" s="40"/>
      <c r="Q107" s="68"/>
      <c r="R107" s="150"/>
      <c r="S107" s="307"/>
      <c r="T107" s="308"/>
      <c r="U107" s="308"/>
      <c r="V107" s="308"/>
      <c r="W107" s="309"/>
    </row>
    <row r="108" spans="2:23">
      <c r="B108" s="65"/>
      <c r="C108" s="44"/>
      <c r="D108" s="44"/>
      <c r="E108" s="287" t="str">
        <f>IF(K8&gt;Annexes!U24,"",(IF(K8&gt;=Annexes!S20,"Aides pour Septembre, Octobre et Novembre 2020 :","")))</f>
        <v/>
      </c>
      <c r="F108" s="287"/>
      <c r="G108" s="287"/>
      <c r="H108" s="287"/>
      <c r="I108" s="287"/>
      <c r="J108" s="287"/>
      <c r="K108" s="183"/>
      <c r="L108" s="183"/>
      <c r="M108" s="183"/>
      <c r="N108" s="40"/>
      <c r="O108" s="40"/>
      <c r="P108" s="40"/>
      <c r="Q108" s="68"/>
      <c r="R108" s="150"/>
      <c r="S108" s="307"/>
      <c r="T108" s="308"/>
      <c r="U108" s="308"/>
      <c r="V108" s="308"/>
      <c r="W108" s="309"/>
    </row>
    <row r="109" spans="2:23" ht="15.75" customHeight="1" thickBot="1">
      <c r="B109" s="65"/>
      <c r="C109" s="44"/>
      <c r="D109" s="44"/>
      <c r="E109" s="327" t="str">
        <f>IF(K8&gt;Annexes!U24,"",IF(K8&gt;Annexes!U22,"Entreprise créée entre le 1er Juillet et le 30 Septembre 2020 :",IF(K8&gt;=Annexes!U18,"Entreprise créée entre le 1er Mars le 1er Juillet 2020 :",IF(K8&gt;=Annexes!U16,"Entreprise créée entre le 1er février 2020 et le 29 février 2020 :",IF(K8&gt;=Annexes!S20,"Entreprise créée entre le 1er Juin 2019 et le 31 Janvier 2020 :","")))))</f>
        <v/>
      </c>
      <c r="F109" s="327"/>
      <c r="G109" s="327"/>
      <c r="H109" s="327"/>
      <c r="I109" s="327"/>
      <c r="J109" s="327"/>
      <c r="K109" s="183"/>
      <c r="L109" s="183"/>
      <c r="M109" s="183"/>
      <c r="N109" s="40"/>
      <c r="O109" s="40"/>
      <c r="P109" s="40"/>
      <c r="Q109" s="68"/>
      <c r="R109" s="152"/>
      <c r="S109" s="307"/>
      <c r="T109" s="308"/>
      <c r="U109" s="308"/>
      <c r="V109" s="308"/>
      <c r="W109" s="309"/>
    </row>
    <row r="110" spans="2:23" ht="15.75" thickBot="1">
      <c r="B110" s="65"/>
      <c r="C110" s="44"/>
      <c r="D110" s="44"/>
      <c r="E110" s="302" t="str">
        <f>IF(K8&gt;Annexes!U24,"",IF(K8&gt;Annexes!U22,"- Chiffre d'affaires entre la création et le 30 Septembre 2020 :",IF(K8&gt;=Annexes!U18,"- Chiffre d'affaires entre le 1er Juillet et le 30 Septembre 2020 :",IF(K8&gt;=Annexes!U16,"- Chiffre d'affaires du mois de février 2020 :",IF(K8&gt;=Annexes!S20,"- Chiffre d'affaires entre la création et le 29 février 2020 :","")))))</f>
        <v/>
      </c>
      <c r="F110" s="302"/>
      <c r="G110" s="302"/>
      <c r="H110" s="302"/>
      <c r="I110" s="302"/>
      <c r="J110" s="302"/>
      <c r="K110" s="184"/>
      <c r="L110" s="184"/>
      <c r="M110" s="114">
        <v>0</v>
      </c>
      <c r="N110" s="90" t="str">
        <f>IF(K8&gt;Annexes!U24,"",IF(K8&gt;Annexes!U22,"*",IF(K8&gt;=Annexes!U18,"*",IF(K8&gt;=Annexes!U16,"*",IF(K8&gt;=Annexes!S20,"*","")))))</f>
        <v/>
      </c>
      <c r="O110" s="40"/>
      <c r="P110" s="40"/>
      <c r="Q110" s="72"/>
      <c r="R110" s="152"/>
      <c r="S110" s="307"/>
      <c r="T110" s="308"/>
      <c r="U110" s="308"/>
      <c r="V110" s="308"/>
      <c r="W110" s="309"/>
    </row>
    <row r="111" spans="2:23">
      <c r="B111" s="65"/>
      <c r="C111" s="44"/>
      <c r="D111" s="44"/>
      <c r="E111" s="44"/>
      <c r="F111" s="44"/>
      <c r="G111" s="44"/>
      <c r="H111" s="44"/>
      <c r="I111" s="51"/>
      <c r="J111" s="44"/>
      <c r="K111" s="44"/>
      <c r="L111" s="44"/>
      <c r="M111" s="44"/>
      <c r="N111" s="40"/>
      <c r="O111" s="40"/>
      <c r="P111" s="54"/>
      <c r="Q111" s="72"/>
      <c r="R111" s="152"/>
      <c r="S111" s="307"/>
      <c r="T111" s="308"/>
      <c r="U111" s="308"/>
      <c r="V111" s="308"/>
      <c r="W111" s="309"/>
    </row>
    <row r="112" spans="2:23">
      <c r="B112" s="65"/>
      <c r="C112" s="44"/>
      <c r="D112" s="44"/>
      <c r="E112" s="44"/>
      <c r="F112" s="314" t="str">
        <f>IF(K8&gt;Annexes!U24,"",IF(K8&gt;=Annexes!S20,"CA moyen sur un mois :",""))</f>
        <v/>
      </c>
      <c r="G112" s="314"/>
      <c r="H112" s="314"/>
      <c r="I112" s="186" t="str">
        <f>IF(K8&gt;Annexes!U24,"",IF(K8&gt;Annexes!U22,M110*360/(Annexes!U24-K8+1)/12,IF(K8&gt;=Annexes!U18,M110*360/92/12,IF(K8&gt;=Annexes!U16,M110*29/(Annexes!U17-K8+1),IF(K8&gt;=Annexes!S20,M110*360/(Annexes!U17-K8+1)/12,"")))))</f>
        <v/>
      </c>
      <c r="J112" s="44"/>
      <c r="K112" s="44"/>
      <c r="L112" s="44"/>
      <c r="M112" s="44"/>
      <c r="N112" s="40"/>
      <c r="O112" s="40"/>
      <c r="P112" s="54"/>
      <c r="Q112" s="72"/>
      <c r="R112" s="152"/>
      <c r="S112" s="307"/>
      <c r="T112" s="308"/>
      <c r="U112" s="308"/>
      <c r="V112" s="308"/>
      <c r="W112" s="309"/>
    </row>
    <row r="113" spans="2:23">
      <c r="B113" s="65"/>
      <c r="C113" s="44"/>
      <c r="D113" s="44"/>
      <c r="E113" s="44"/>
      <c r="F113" s="314" t="str">
        <f>IF(AND(Annexes!M5=TRUE,Annexes!O5&gt;1),IF(AND(K8&lt;=Annexes!U23,K8&gt;=Annexes!S20),"Soit sur "&amp;Annexes!O5-1&amp;" Jour(s) (Septembre) :",""),"")</f>
        <v/>
      </c>
      <c r="G113" s="314"/>
      <c r="H113" s="314"/>
      <c r="I113" s="51" t="str">
        <f>IF(AND(Annexes!M5=TRUE,Annexes!O5&gt;1),IF(AND(K8&lt;=Annexes!U23,K8&gt;=Annexes!S20),I112/30*(Annexes!O5-1),""),"")</f>
        <v/>
      </c>
      <c r="J113" s="44"/>
      <c r="K113" s="44"/>
      <c r="L113" s="44"/>
      <c r="M113" s="44"/>
      <c r="N113" s="40"/>
      <c r="O113" s="40"/>
      <c r="P113" s="51"/>
      <c r="Q113" s="72"/>
      <c r="R113" s="153"/>
      <c r="S113" s="307"/>
      <c r="T113" s="308"/>
      <c r="U113" s="308"/>
      <c r="V113" s="308"/>
      <c r="W113" s="309"/>
    </row>
    <row r="114" spans="2:23">
      <c r="B114" s="71"/>
      <c r="C114" s="44"/>
      <c r="D114" s="44"/>
      <c r="E114" s="44"/>
      <c r="F114" s="314" t="str">
        <f>IF(AND(Annexes!M5=TRUE,Annexes!Q5&gt;1),IF(AND(K8&lt;=Annexes!U23,K8&gt;=Annexes!S20),"Soit sur "&amp;Annexes!Q5-1&amp;" Jour(s) (Octobre):",""),"")</f>
        <v/>
      </c>
      <c r="G114" s="314"/>
      <c r="H114" s="314"/>
      <c r="I114" s="51" t="str">
        <f>IF(AND(Annexes!M5=TRUE,Annexes!Q5&gt;1),IF(AND(K8&lt;=Annexes!U23,K8&gt;=Annexes!S20),I112/30*(Annexes!Q5-1),""),"")</f>
        <v/>
      </c>
      <c r="J114" s="44"/>
      <c r="K114" s="44"/>
      <c r="L114" s="44"/>
      <c r="M114" s="44"/>
      <c r="N114" s="40"/>
      <c r="O114" s="40"/>
      <c r="P114" s="40"/>
      <c r="Q114" s="73"/>
      <c r="R114" s="154"/>
      <c r="S114" s="310"/>
      <c r="T114" s="311"/>
      <c r="U114" s="311"/>
      <c r="V114" s="311"/>
      <c r="W114" s="312"/>
    </row>
    <row r="115" spans="2:23">
      <c r="B115" s="65"/>
      <c r="C115" s="55"/>
      <c r="D115" s="55"/>
      <c r="E115" s="64"/>
      <c r="F115" s="187"/>
      <c r="G115" s="187"/>
      <c r="H115" s="187"/>
      <c r="I115" s="182"/>
      <c r="J115" s="64"/>
      <c r="K115" s="64"/>
      <c r="L115" s="64"/>
      <c r="M115" s="64"/>
      <c r="N115" s="40"/>
      <c r="O115" s="40"/>
      <c r="P115" s="44"/>
      <c r="Q115" s="68"/>
      <c r="R115" s="150"/>
      <c r="S115" s="310"/>
      <c r="T115" s="311"/>
      <c r="U115" s="311"/>
      <c r="V115" s="311"/>
      <c r="W115" s="312"/>
    </row>
    <row r="116" spans="2:23" ht="15" customHeight="1">
      <c r="B116" s="65"/>
      <c r="C116" s="44"/>
      <c r="D116" s="44"/>
      <c r="E116" s="44"/>
      <c r="F116" s="44"/>
      <c r="G116" s="44"/>
      <c r="H116" s="44"/>
      <c r="I116" s="51"/>
      <c r="J116" s="44"/>
      <c r="K116" s="44"/>
      <c r="L116" s="44"/>
      <c r="M116" s="44"/>
      <c r="N116" s="44"/>
      <c r="O116" s="40"/>
      <c r="P116" s="40"/>
      <c r="Q116" s="68"/>
      <c r="R116" s="155"/>
      <c r="S116" s="307"/>
      <c r="T116" s="308"/>
      <c r="U116" s="308"/>
      <c r="V116" s="308"/>
      <c r="W116" s="309"/>
    </row>
    <row r="117" spans="2:23" ht="15" customHeight="1">
      <c r="B117" s="65"/>
      <c r="C117" s="44"/>
      <c r="D117" s="44"/>
      <c r="E117" s="313" t="str">
        <f>IF(AND(Annexes!M5=TRUE,Annexes!O5&gt;1),IF(AND(K8&lt;=Annexes!U23,K8&gt;=Annexes!U18),"Aide pour Septembre 2020 :",""),"")</f>
        <v/>
      </c>
      <c r="F117" s="313"/>
      <c r="G117" s="313"/>
      <c r="H117" s="188"/>
      <c r="I117" s="44"/>
      <c r="J117" s="44"/>
      <c r="K117" s="44"/>
      <c r="L117" s="44"/>
      <c r="M117" s="44"/>
      <c r="N117" s="40"/>
      <c r="O117" s="40"/>
      <c r="P117" s="40"/>
      <c r="Q117" s="74"/>
      <c r="R117" s="155"/>
      <c r="S117" s="307"/>
      <c r="T117" s="308"/>
      <c r="U117" s="308"/>
      <c r="V117" s="308"/>
      <c r="W117" s="309"/>
    </row>
    <row r="118" spans="2:23" ht="15.75" thickBot="1">
      <c r="B118" s="65"/>
      <c r="C118" s="44"/>
      <c r="D118" s="44"/>
      <c r="E118" s="373" t="str">
        <f>IF(AND(Annexes!M5=TRUE,Annexes!O5&gt;1),IF(AND(K8&lt;=Annexes!U23,K8&gt;=Annexes!U18),"Entreprise créée entre le 1er Mars et le 31 Août 2020",""),"")</f>
        <v/>
      </c>
      <c r="F118" s="373"/>
      <c r="G118" s="373"/>
      <c r="H118" s="373"/>
      <c r="I118" s="373"/>
      <c r="J118" s="373"/>
      <c r="K118" s="373"/>
      <c r="L118" s="373"/>
      <c r="M118" s="373"/>
      <c r="N118" s="44"/>
      <c r="O118" s="40"/>
      <c r="P118" s="40"/>
      <c r="Q118" s="74"/>
      <c r="R118" s="150"/>
      <c r="S118" s="307"/>
      <c r="T118" s="308"/>
      <c r="U118" s="308"/>
      <c r="V118" s="308"/>
      <c r="W118" s="309"/>
    </row>
    <row r="119" spans="2:23" ht="15.75" thickBot="1">
      <c r="B119" s="1"/>
      <c r="C119" s="185"/>
      <c r="D119" s="44"/>
      <c r="E119" s="327" t="str">
        <f>IF(AND(Annexes!M5=TRUE,Annexes!O5&gt;1),IF(AND(K8&lt;=Annexes!U23,K8&gt;=Annexes!U18),"- Chiffre d'affaires entre la création et le 31 Août 2020 :",""),"")</f>
        <v/>
      </c>
      <c r="F119" s="327"/>
      <c r="G119" s="327"/>
      <c r="H119" s="327"/>
      <c r="I119" s="327"/>
      <c r="J119" s="327"/>
      <c r="K119" s="327"/>
      <c r="L119" s="327"/>
      <c r="M119" s="114">
        <v>0</v>
      </c>
      <c r="N119" s="90" t="str">
        <f>IF(AND(Annexes!M5=TRUE,Annexes!O5&gt;1),IF(AND(K8&lt;=Annexes!U23,K8&gt;=Annexes!U18),"*",""),"")</f>
        <v/>
      </c>
      <c r="O119" s="40"/>
      <c r="P119" s="44"/>
      <c r="Q119" s="68"/>
      <c r="R119" s="1"/>
      <c r="S119" s="307"/>
      <c r="T119" s="308"/>
      <c r="U119" s="308"/>
      <c r="V119" s="308"/>
      <c r="W119" s="309"/>
    </row>
    <row r="120" spans="2:23">
      <c r="B120" s="1"/>
      <c r="C120" s="185"/>
      <c r="D120" s="1"/>
      <c r="E120" s="44"/>
      <c r="F120" s="44"/>
      <c r="G120" s="44"/>
      <c r="H120" s="44"/>
      <c r="I120" s="44"/>
      <c r="J120" s="44"/>
      <c r="K120" s="44"/>
      <c r="L120" s="44"/>
      <c r="M120" s="44"/>
      <c r="N120" s="40"/>
      <c r="O120" s="40"/>
      <c r="P120" s="1"/>
      <c r="Q120" s="68"/>
      <c r="R120" s="1"/>
      <c r="S120" s="307"/>
      <c r="T120" s="308"/>
      <c r="U120" s="308"/>
      <c r="V120" s="308"/>
      <c r="W120" s="309"/>
    </row>
    <row r="121" spans="2:23">
      <c r="B121" s="8"/>
      <c r="C121" s="185"/>
      <c r="D121" s="1"/>
      <c r="E121" s="44"/>
      <c r="F121" s="314" t="str">
        <f>IF(AND(Annexes!M5=TRUE,Annexes!O5&gt;1),IF(AND(K8&lt;=Annexes!U23,K8&gt;=Annexes!U18),"Soit sur "&amp;Annexes!O5-1&amp;" Jour(s) :",""),"")</f>
        <v/>
      </c>
      <c r="G121" s="314"/>
      <c r="H121" s="314"/>
      <c r="I121" s="51" t="str">
        <f>IF(AND(Annexes!M5=TRUE,Annexes!O5&gt;1),IF(AND(K8&lt;=Annexes!U23,K8&gt;=Annexes!U18),M119*(Annexes!O5-1)/(Annexes!U23-K8+1),""),"")</f>
        <v/>
      </c>
      <c r="J121" s="44"/>
      <c r="K121" s="44"/>
      <c r="L121" s="44"/>
      <c r="M121" s="44"/>
      <c r="N121" s="40"/>
      <c r="O121" s="40"/>
      <c r="P121" s="1"/>
      <c r="Q121" s="68"/>
      <c r="R121" s="1"/>
      <c r="S121" s="307"/>
      <c r="T121" s="308"/>
      <c r="U121" s="308"/>
      <c r="V121" s="308"/>
      <c r="W121" s="309"/>
    </row>
    <row r="122" spans="2:23">
      <c r="B122" s="1"/>
      <c r="C122" s="185"/>
      <c r="D122" s="8"/>
      <c r="E122" s="64"/>
      <c r="F122" s="187"/>
      <c r="G122" s="187"/>
      <c r="H122" s="187"/>
      <c r="I122" s="182"/>
      <c r="J122" s="64"/>
      <c r="K122" s="64"/>
      <c r="L122" s="64"/>
      <c r="M122" s="64"/>
      <c r="N122" s="40"/>
      <c r="O122" s="44"/>
      <c r="P122" s="1"/>
      <c r="Q122" s="68"/>
      <c r="R122" s="1"/>
      <c r="S122" s="307"/>
      <c r="T122" s="308"/>
      <c r="U122" s="308"/>
      <c r="V122" s="308"/>
      <c r="W122" s="309"/>
    </row>
    <row r="123" spans="2:23" ht="15.75" thickBot="1">
      <c r="B123" s="1"/>
      <c r="C123" s="185"/>
      <c r="D123" s="1"/>
      <c r="E123" s="44"/>
      <c r="F123" s="44"/>
      <c r="G123" s="44"/>
      <c r="H123" s="44"/>
      <c r="I123" s="44"/>
      <c r="J123" s="44"/>
      <c r="K123" s="44"/>
      <c r="L123" s="44"/>
      <c r="M123" s="44"/>
      <c r="N123" s="44"/>
      <c r="O123" s="40"/>
      <c r="P123" s="1"/>
      <c r="Q123" s="68"/>
      <c r="R123" s="1"/>
      <c r="S123" s="307"/>
      <c r="T123" s="308"/>
      <c r="U123" s="308"/>
      <c r="V123" s="308"/>
      <c r="W123" s="309"/>
    </row>
    <row r="124" spans="2:23" ht="15.75" thickBot="1">
      <c r="B124" s="1"/>
      <c r="C124" s="185"/>
      <c r="D124" s="1"/>
      <c r="E124" s="302" t="str">
        <f>IF(AND(K8&gt;=Annexes!S17,K8&lt;=Annexes!U19),IF(OR(Annexes!M13=TRUE,AND(Annexes!F7&gt;1,Annexes!F7&lt;=Annexes!H8)),"- Chiffre d'affaires de la création au 15/03/2020 :","Case réservée aux activités mentionnées en annexe 2 (S1 bis) ou 3"),"")</f>
        <v/>
      </c>
      <c r="F124" s="302"/>
      <c r="G124" s="302"/>
      <c r="H124" s="302"/>
      <c r="I124" s="302"/>
      <c r="J124" s="302"/>
      <c r="K124" s="44"/>
      <c r="L124" s="44"/>
      <c r="M124" s="114">
        <v>0</v>
      </c>
      <c r="N124" s="90" t="str">
        <f>IF(AND(K8&gt;=Annexes!S17,K8&lt;=Annexes!U19),IF(OR(Annexes!M13=TRUE,AND(Annexes!F7&gt;1,Annexes!F7&lt;=86)),"*",""),"")</f>
        <v/>
      </c>
      <c r="O124" s="40"/>
      <c r="P124" s="1"/>
      <c r="Q124" s="68"/>
      <c r="R124" s="1"/>
      <c r="S124" s="307"/>
      <c r="T124" s="308"/>
      <c r="U124" s="308"/>
      <c r="V124" s="308"/>
      <c r="W124" s="309"/>
    </row>
    <row r="125" spans="2:23">
      <c r="B125" s="1"/>
      <c r="C125" s="185"/>
      <c r="D125" s="1"/>
      <c r="E125" s="55"/>
      <c r="F125" s="44"/>
      <c r="G125" s="44"/>
      <c r="H125" s="44"/>
      <c r="I125" s="44"/>
      <c r="J125" s="44"/>
      <c r="K125" s="44"/>
      <c r="L125" s="44"/>
      <c r="M125" s="44"/>
      <c r="N125" s="40"/>
      <c r="O125" s="40"/>
      <c r="P125" s="1"/>
      <c r="Q125" s="68"/>
      <c r="R125" s="1"/>
      <c r="S125" s="307"/>
      <c r="T125" s="308"/>
      <c r="U125" s="308"/>
      <c r="V125" s="308"/>
      <c r="W125" s="309"/>
    </row>
    <row r="126" spans="2:23">
      <c r="B126" s="1"/>
      <c r="C126" s="185"/>
      <c r="D126" s="1"/>
      <c r="E126" s="44"/>
      <c r="F126" s="303" t="str">
        <f>IF(AND(K8&gt;=Annexes!S17,K8&lt;=Annexes!U19),IF(OR(Annexes!M13=TRUE,AND(Annexes!F7&gt;1,Annexes!F7&lt;=Annexes!H8)),"CA moyen sur deux mois :",""),"")</f>
        <v/>
      </c>
      <c r="G126" s="303"/>
      <c r="H126" s="303"/>
      <c r="I126" s="51" t="str">
        <f>IFERROR(IF(AND(K8&gt;=Annexes!S17,K8&lt;=Annexes!U19),IF(OR(Annexes!M13=TRUE,AND(Annexes!F7&gt;1,Annexes!F7&lt;=Annexes!H8)),M124*360/(Annexes!U20-K8+1)/6,""),""),0)</f>
        <v/>
      </c>
      <c r="J126" s="44"/>
      <c r="K126" s="44"/>
      <c r="L126" s="44"/>
      <c r="M126" s="44"/>
      <c r="N126" s="40"/>
      <c r="O126" s="44"/>
      <c r="P126" s="1"/>
      <c r="Q126" s="68"/>
      <c r="R126" s="1"/>
      <c r="S126" s="307"/>
      <c r="T126" s="308"/>
      <c r="U126" s="308"/>
      <c r="V126" s="308"/>
      <c r="W126" s="309"/>
    </row>
    <row r="127" spans="2:23" ht="15.75" thickBot="1">
      <c r="B127" s="1"/>
      <c r="C127" s="185"/>
      <c r="D127" s="1"/>
      <c r="E127" s="1"/>
      <c r="F127" s="1"/>
      <c r="G127" s="1"/>
      <c r="H127" s="1"/>
      <c r="I127" s="1"/>
      <c r="J127" s="1"/>
      <c r="K127" s="1"/>
      <c r="L127" s="1"/>
      <c r="M127" s="1"/>
      <c r="N127" s="1"/>
      <c r="O127" s="1"/>
      <c r="P127" s="1"/>
      <c r="Q127" s="68"/>
      <c r="R127" s="1"/>
      <c r="S127" s="307"/>
      <c r="T127" s="308"/>
      <c r="U127" s="308"/>
      <c r="V127" s="308"/>
      <c r="W127" s="309"/>
    </row>
    <row r="128" spans="2:23" ht="15.75" thickBot="1">
      <c r="B128" s="1"/>
      <c r="C128" s="185"/>
      <c r="D128" s="1"/>
      <c r="E128" s="302" t="str">
        <f>IF(AND(K8&gt;=Annexes!U14,K8&lt;=Annexes!U27),IF(OR(Annexes!M13=TRUE,AND(Annexes!F7&gt;1,Annexes!F7&lt;=Annexes!H8)),"- Chiffre d'affaires de la création au 31/10/2020 :","Case réservée aux activités mentionnées en annexe 2 (S1 bis) ou 3"),"")</f>
        <v/>
      </c>
      <c r="F128" s="302"/>
      <c r="G128" s="302"/>
      <c r="H128" s="302"/>
      <c r="I128" s="302"/>
      <c r="J128" s="302"/>
      <c r="K128" s="44"/>
      <c r="L128" s="44"/>
      <c r="M128" s="114">
        <v>0</v>
      </c>
      <c r="N128" s="109" t="str">
        <f>IF(AND(K8&gt;=Annexes!S17,K8&lt;=Annexes!U19),IF(AND(OR(Annexes!M13=TRUE,Annexes!F7&gt;1,Annexes!F7&lt;=86)),"*",""),"")</f>
        <v/>
      </c>
      <c r="O128" s="1"/>
      <c r="P128" s="1"/>
      <c r="Q128" s="68"/>
      <c r="R128" s="1"/>
      <c r="S128" s="307"/>
      <c r="T128" s="308"/>
      <c r="U128" s="308"/>
      <c r="V128" s="308"/>
      <c r="W128" s="309"/>
    </row>
    <row r="129" spans="2:23">
      <c r="B129" s="1"/>
      <c r="C129" s="185"/>
      <c r="D129" s="1"/>
      <c r="E129" s="370" t="str">
        <f>IF(AND(K8&gt;=Annexes!U14,K8&lt;=Annexes!U27),IF(OR(Annexes!M13=TRUE,AND(Annexes!F7&gt;1,Annexes!F7&lt;=Annexes!H8)),"Au lieu du 30/11/2020, depuis le décret 2021-79 du 28 Janvier 2021",""),"")</f>
        <v/>
      </c>
      <c r="F129" s="370"/>
      <c r="G129" s="370"/>
      <c r="H129" s="370"/>
      <c r="I129" s="370"/>
      <c r="J129" s="370"/>
      <c r="K129" s="370"/>
      <c r="L129" s="44"/>
      <c r="M129" s="44"/>
      <c r="N129" s="1"/>
      <c r="O129" s="1"/>
      <c r="P129" s="1"/>
      <c r="Q129" s="68"/>
      <c r="R129" s="1"/>
      <c r="S129" s="307"/>
      <c r="T129" s="308"/>
      <c r="U129" s="308"/>
      <c r="V129" s="308"/>
      <c r="W129" s="309"/>
    </row>
    <row r="130" spans="2:23">
      <c r="B130" s="1"/>
      <c r="C130" s="185"/>
      <c r="D130" s="1"/>
      <c r="E130" s="44"/>
      <c r="F130" s="303" t="str">
        <f>IF(AND(K8&gt;=Annexes!U14,K8&lt;=Annexes!U26),IF(OR(Annexes!M13=TRUE,AND(Annexes!F7&gt;1,Annexes!F7&lt;=Annexes!H8)),"CA moyen sur un mois :",""),"")</f>
        <v/>
      </c>
      <c r="G130" s="303"/>
      <c r="H130" s="303"/>
      <c r="I130" s="51" t="str">
        <f>IFERROR(IF(AND(K8&gt;=Annexes!U14,K8&lt;=Annexes!U26),IF(OR(Annexes!M13=TRUE,AND(Annexes!F7&gt;1,Annexes!F7&lt;=Annexes!H8)),M128*360/(Annexes!U26-K8+1)/12,""),""),0)</f>
        <v/>
      </c>
      <c r="J130" s="44"/>
      <c r="K130" s="44"/>
      <c r="L130" s="44"/>
      <c r="M130" s="44"/>
      <c r="N130" s="1"/>
      <c r="O130" s="1"/>
      <c r="P130" s="1"/>
      <c r="Q130" s="68"/>
      <c r="R130" s="1"/>
      <c r="S130" s="307"/>
      <c r="T130" s="308"/>
      <c r="U130" s="308"/>
      <c r="V130" s="308"/>
      <c r="W130" s="309"/>
    </row>
    <row r="131" spans="2:23">
      <c r="B131" s="1"/>
      <c r="C131" s="185"/>
      <c r="D131" s="1"/>
      <c r="E131" s="55" t="str">
        <f>IF(AND(K8&gt;=Annexes!U25,K8&lt;=Annexes!U26),IF(OR(Annexes!M13=TRUE,AND(Annexes!F7&gt;1,Annexes!F7&lt;=Annexes!H8)),"Pour les créations après le 1er Octobre, merci de bien compléter le CA de Décembre 2020",""),"")</f>
        <v/>
      </c>
      <c r="F131" s="1"/>
      <c r="G131" s="1"/>
      <c r="H131" s="1"/>
      <c r="I131" s="1"/>
      <c r="J131" s="1"/>
      <c r="K131" s="1"/>
      <c r="L131" s="1"/>
      <c r="M131" s="1"/>
      <c r="N131" s="1"/>
      <c r="O131" s="1"/>
      <c r="P131" s="1"/>
      <c r="Q131" s="68"/>
      <c r="R131" s="1"/>
      <c r="S131" s="304"/>
      <c r="T131" s="305"/>
      <c r="U131" s="305"/>
      <c r="V131" s="305"/>
      <c r="W131" s="306"/>
    </row>
    <row r="132" spans="2:23">
      <c r="B132" s="1"/>
      <c r="C132" s="66"/>
      <c r="D132" s="78"/>
      <c r="E132" s="78"/>
      <c r="F132" s="78"/>
      <c r="G132" s="78"/>
      <c r="H132" s="78"/>
      <c r="I132" s="78"/>
      <c r="J132" s="78"/>
      <c r="K132" s="78"/>
      <c r="L132" s="78"/>
      <c r="M132" s="78"/>
      <c r="N132" s="78"/>
      <c r="O132" s="78"/>
      <c r="P132" s="78"/>
      <c r="Q132" s="75"/>
      <c r="R132" s="1"/>
      <c r="S132" s="374"/>
      <c r="T132" s="375"/>
      <c r="U132" s="375"/>
      <c r="V132" s="375"/>
      <c r="W132" s="376"/>
    </row>
    <row r="133" spans="2:23">
      <c r="B133" s="1"/>
      <c r="C133" s="1"/>
      <c r="D133" s="1"/>
      <c r="E133" s="1"/>
      <c r="F133" s="1"/>
      <c r="G133" s="1"/>
      <c r="H133" s="1"/>
      <c r="I133" s="1"/>
      <c r="J133" s="1"/>
      <c r="K133" s="1"/>
      <c r="L133" s="1"/>
      <c r="M133" s="1"/>
      <c r="N133" s="1"/>
      <c r="O133" s="1"/>
      <c r="P133" s="1"/>
      <c r="Q133" s="1"/>
      <c r="R133" s="1"/>
    </row>
    <row r="134" spans="2:23">
      <c r="B134" s="1"/>
      <c r="C134" s="1"/>
      <c r="D134" s="1"/>
      <c r="E134" s="1"/>
      <c r="F134" s="1"/>
      <c r="G134" s="1"/>
      <c r="H134" s="1"/>
      <c r="I134" s="1"/>
      <c r="J134" s="1"/>
      <c r="K134" s="1"/>
      <c r="L134" s="1"/>
      <c r="M134" s="1"/>
      <c r="N134" s="1"/>
      <c r="O134" s="1"/>
      <c r="P134" s="1"/>
      <c r="Q134" s="1"/>
      <c r="R134" s="1"/>
    </row>
    <row r="135" spans="2:23">
      <c r="B135" s="1"/>
      <c r="C135" s="1"/>
      <c r="D135" s="1"/>
      <c r="E135" s="1"/>
      <c r="F135" s="1"/>
      <c r="G135" s="1"/>
      <c r="H135" s="1"/>
      <c r="I135" s="1"/>
      <c r="J135" s="1"/>
      <c r="K135" s="1"/>
      <c r="L135" s="1"/>
      <c r="M135" s="1"/>
      <c r="N135" s="1"/>
      <c r="O135" s="1"/>
      <c r="P135" s="1"/>
      <c r="Q135" s="1"/>
      <c r="R135" s="1"/>
    </row>
    <row r="136" spans="2:23">
      <c r="B136" s="1"/>
      <c r="C136" s="1"/>
      <c r="D136" s="1"/>
      <c r="E136" s="1"/>
      <c r="F136" s="1"/>
      <c r="G136" s="1"/>
      <c r="H136" s="1"/>
      <c r="I136" s="1"/>
      <c r="J136" s="1"/>
      <c r="K136" s="1"/>
      <c r="L136" s="1"/>
      <c r="M136" s="1"/>
      <c r="N136" s="1"/>
      <c r="O136" s="1"/>
      <c r="P136" s="1"/>
      <c r="Q136" s="1"/>
      <c r="R136" s="1"/>
    </row>
    <row r="137" spans="2:23">
      <c r="B137" s="1"/>
      <c r="C137" s="1"/>
      <c r="D137" s="1"/>
      <c r="E137" s="1"/>
      <c r="F137" s="1"/>
      <c r="G137" s="1"/>
      <c r="H137" s="1"/>
      <c r="I137" s="1"/>
      <c r="J137" s="1"/>
      <c r="K137" s="1"/>
      <c r="L137" s="1"/>
      <c r="M137" s="1"/>
      <c r="N137" s="1"/>
      <c r="O137" s="1"/>
      <c r="P137" s="1"/>
      <c r="Q137" s="1"/>
      <c r="R137" s="1"/>
    </row>
    <row r="138" spans="2:23">
      <c r="B138" s="1"/>
      <c r="C138" s="1"/>
      <c r="D138" s="1"/>
      <c r="E138" s="1"/>
      <c r="F138" s="1"/>
      <c r="G138" s="1"/>
      <c r="H138" s="1"/>
      <c r="I138" s="1"/>
      <c r="J138" s="1"/>
      <c r="K138" s="1"/>
      <c r="L138" s="1"/>
      <c r="M138" s="1"/>
      <c r="N138" s="1"/>
      <c r="O138" s="1"/>
      <c r="P138" s="1"/>
      <c r="Q138" s="1"/>
      <c r="R138" s="1"/>
    </row>
    <row r="139" spans="2:23">
      <c r="B139" s="1"/>
      <c r="C139" s="1"/>
      <c r="D139" s="1"/>
      <c r="E139" s="1"/>
      <c r="F139" s="1"/>
      <c r="G139" s="1"/>
      <c r="H139" s="1"/>
      <c r="I139" s="1"/>
      <c r="J139" s="1"/>
      <c r="K139" s="1"/>
      <c r="L139" s="1"/>
      <c r="M139" s="1"/>
      <c r="N139" s="1"/>
      <c r="O139" s="1"/>
      <c r="P139" s="1"/>
      <c r="Q139" s="1"/>
      <c r="R139" s="1"/>
    </row>
    <row r="140" spans="2:23">
      <c r="B140" s="1"/>
      <c r="C140" s="1"/>
      <c r="D140" s="1"/>
      <c r="E140" s="1"/>
      <c r="F140" s="1"/>
      <c r="G140" s="1"/>
      <c r="H140" s="1"/>
      <c r="I140" s="1"/>
      <c r="J140" s="1"/>
      <c r="K140" s="1"/>
      <c r="L140" s="1"/>
      <c r="M140" s="1"/>
      <c r="N140" s="1"/>
      <c r="O140" s="1"/>
      <c r="P140" s="1"/>
      <c r="Q140" s="1"/>
      <c r="R140" s="1"/>
    </row>
    <row r="141" spans="2:23">
      <c r="B141" s="1"/>
      <c r="C141" s="1"/>
      <c r="D141" s="1"/>
      <c r="E141" s="1"/>
      <c r="F141" s="1"/>
      <c r="G141" s="1"/>
      <c r="H141" s="1"/>
      <c r="I141" s="1"/>
      <c r="J141" s="1"/>
      <c r="K141" s="1"/>
      <c r="L141" s="1"/>
      <c r="M141" s="1"/>
      <c r="N141" s="1"/>
      <c r="O141" s="1"/>
      <c r="P141" s="1"/>
      <c r="Q141" s="1"/>
      <c r="R141" s="1"/>
    </row>
    <row r="142" spans="2:23">
      <c r="B142" s="1"/>
      <c r="C142" s="1"/>
      <c r="D142" s="1"/>
      <c r="E142" s="1"/>
      <c r="F142" s="1"/>
      <c r="G142" s="1"/>
      <c r="H142" s="1"/>
      <c r="I142" s="1"/>
      <c r="J142" s="1"/>
      <c r="K142" s="1"/>
      <c r="L142" s="1"/>
      <c r="M142" s="1"/>
      <c r="N142" s="1"/>
      <c r="O142" s="1"/>
      <c r="P142" s="1"/>
      <c r="Q142" s="1"/>
      <c r="R142" s="1"/>
    </row>
    <row r="143" spans="2:23">
      <c r="B143" s="8"/>
      <c r="C143" s="1"/>
      <c r="D143" s="1"/>
      <c r="E143" s="1"/>
      <c r="F143" s="1"/>
      <c r="G143" s="1"/>
      <c r="H143" s="1"/>
      <c r="I143" s="1"/>
      <c r="J143" s="1"/>
      <c r="K143" s="1"/>
      <c r="L143" s="1"/>
      <c r="M143" s="1"/>
      <c r="N143" s="1"/>
      <c r="O143" s="1"/>
      <c r="P143" s="1"/>
      <c r="Q143" s="1"/>
      <c r="R143" s="1"/>
      <c r="S143" s="1"/>
      <c r="T143" s="1"/>
      <c r="U143" s="1"/>
    </row>
    <row r="144" spans="2:23">
      <c r="B144" s="1"/>
      <c r="C144" s="8"/>
      <c r="D144" s="8"/>
      <c r="E144" s="1"/>
      <c r="F144" s="1"/>
      <c r="G144" s="1"/>
      <c r="H144" s="1"/>
      <c r="I144" s="1"/>
      <c r="J144" s="1"/>
      <c r="K144" s="1"/>
      <c r="L144" s="1"/>
      <c r="M144" s="1"/>
      <c r="N144" s="1"/>
      <c r="O144" s="1"/>
      <c r="P144" s="1"/>
      <c r="Q144" s="1"/>
      <c r="R144" s="1"/>
      <c r="S144" s="1"/>
      <c r="T144" s="1"/>
      <c r="U144" s="1"/>
    </row>
    <row r="145" spans="2:21">
      <c r="B145" s="1"/>
      <c r="C145" s="1"/>
      <c r="D145" s="1"/>
      <c r="E145" s="1"/>
      <c r="F145" s="1"/>
      <c r="G145" s="1"/>
      <c r="H145" s="1"/>
      <c r="I145" s="1"/>
      <c r="J145" s="1"/>
      <c r="K145" s="1"/>
      <c r="L145" s="1"/>
      <c r="M145" s="1"/>
      <c r="N145" s="1"/>
      <c r="O145" s="1"/>
      <c r="P145" s="1"/>
      <c r="Q145" s="1"/>
      <c r="R145" s="1"/>
      <c r="S145" s="1"/>
      <c r="T145" s="1"/>
      <c r="U145" s="1"/>
    </row>
    <row r="146" spans="2:21">
      <c r="B146" s="1"/>
      <c r="C146" s="1"/>
      <c r="D146" s="1"/>
      <c r="E146" s="1"/>
      <c r="F146" s="1"/>
      <c r="G146" s="1"/>
      <c r="H146" s="1"/>
      <c r="I146" s="1"/>
      <c r="J146" s="1"/>
      <c r="K146" s="1"/>
      <c r="L146" s="1"/>
      <c r="M146" s="1"/>
      <c r="N146" s="1"/>
      <c r="O146" s="1"/>
      <c r="P146" s="1"/>
      <c r="Q146" s="1"/>
      <c r="R146" s="1"/>
      <c r="S146" s="1"/>
      <c r="T146" s="1"/>
      <c r="U146" s="1"/>
    </row>
    <row r="147" spans="2:21">
      <c r="B147" s="1"/>
      <c r="C147" s="1"/>
      <c r="D147" s="1"/>
      <c r="E147" s="1"/>
      <c r="F147" s="1"/>
      <c r="G147" s="1"/>
      <c r="H147" s="1"/>
      <c r="I147" s="1"/>
      <c r="J147" s="1"/>
      <c r="K147" s="1"/>
      <c r="L147" s="1"/>
      <c r="M147" s="1"/>
      <c r="N147" s="1"/>
      <c r="O147" s="1"/>
      <c r="P147" s="1"/>
      <c r="Q147" s="1"/>
      <c r="R147" s="1"/>
      <c r="S147" s="1"/>
      <c r="T147" s="1"/>
      <c r="U147" s="1"/>
    </row>
    <row r="148" spans="2:21">
      <c r="B148" s="1"/>
      <c r="C148" s="1"/>
      <c r="D148" s="1"/>
      <c r="E148" s="1"/>
      <c r="F148" s="1"/>
      <c r="G148" s="1"/>
      <c r="H148" s="1"/>
      <c r="I148" s="1"/>
      <c r="J148" s="1"/>
      <c r="K148" s="1"/>
      <c r="L148" s="1"/>
      <c r="M148" s="1"/>
      <c r="N148" s="1"/>
      <c r="O148" s="1"/>
      <c r="P148" s="1"/>
      <c r="Q148" s="1"/>
      <c r="R148" s="1"/>
      <c r="S148" s="1"/>
      <c r="T148" s="1"/>
      <c r="U148" s="1"/>
    </row>
    <row r="149" spans="2:21">
      <c r="B149" s="1"/>
      <c r="C149" s="1"/>
      <c r="D149" s="1"/>
      <c r="E149" s="1"/>
      <c r="F149" s="1"/>
      <c r="G149" s="1"/>
      <c r="H149" s="1"/>
      <c r="I149" s="1"/>
      <c r="J149" s="1"/>
      <c r="K149" s="1"/>
      <c r="L149" s="1"/>
      <c r="M149" s="1"/>
      <c r="N149" s="1"/>
      <c r="O149" s="1"/>
      <c r="P149" s="1"/>
      <c r="Q149" s="1"/>
      <c r="R149" s="1"/>
      <c r="S149" s="1"/>
      <c r="T149" s="1"/>
      <c r="U149" s="1"/>
    </row>
    <row r="150" spans="2:21">
      <c r="B150" s="1"/>
      <c r="C150" s="1"/>
      <c r="D150" s="1"/>
      <c r="E150" s="1"/>
      <c r="F150" s="1"/>
      <c r="G150" s="1"/>
      <c r="H150" s="1"/>
      <c r="I150" s="1"/>
      <c r="J150" s="1"/>
      <c r="K150" s="1"/>
      <c r="L150" s="1"/>
      <c r="M150" s="1"/>
      <c r="N150" s="1"/>
      <c r="O150" s="1"/>
      <c r="P150" s="1"/>
      <c r="Q150" s="1"/>
      <c r="R150" s="1"/>
      <c r="S150" s="1"/>
      <c r="T150" s="1"/>
      <c r="U150" s="1"/>
    </row>
    <row r="151" spans="2:21">
      <c r="B151" s="1"/>
      <c r="C151" s="1"/>
      <c r="D151" s="1"/>
      <c r="E151" s="1"/>
      <c r="F151" s="1"/>
      <c r="G151" s="1"/>
      <c r="H151" s="1"/>
      <c r="I151" s="1"/>
      <c r="J151" s="1"/>
      <c r="K151" s="1"/>
      <c r="L151" s="1"/>
      <c r="M151" s="1"/>
      <c r="N151" s="1"/>
      <c r="O151" s="1"/>
      <c r="P151" s="1"/>
      <c r="Q151" s="1"/>
      <c r="R151" s="1"/>
      <c r="S151" s="1"/>
      <c r="T151" s="1"/>
      <c r="U151" s="1"/>
    </row>
    <row r="152" spans="2:21">
      <c r="B152" s="1"/>
      <c r="C152" s="1"/>
      <c r="D152" s="1"/>
      <c r="E152" s="1"/>
      <c r="F152" s="1"/>
      <c r="G152" s="1"/>
      <c r="H152" s="1"/>
      <c r="I152" s="1"/>
      <c r="J152" s="1"/>
      <c r="K152" s="1"/>
      <c r="L152" s="1"/>
      <c r="M152" s="1"/>
      <c r="N152" s="1"/>
      <c r="O152" s="1"/>
      <c r="P152" s="1"/>
      <c r="Q152" s="1"/>
      <c r="R152" s="1"/>
      <c r="S152" s="1"/>
      <c r="T152" s="1"/>
      <c r="U152" s="1"/>
    </row>
    <row r="153" spans="2:21">
      <c r="B153" s="1"/>
      <c r="C153" s="1"/>
      <c r="D153" s="1"/>
      <c r="E153" s="1"/>
      <c r="F153" s="1"/>
      <c r="G153" s="1"/>
      <c r="H153" s="1"/>
      <c r="I153" s="1"/>
      <c r="J153" s="1"/>
      <c r="K153" s="1"/>
      <c r="L153" s="1"/>
      <c r="M153" s="1"/>
      <c r="N153" s="1"/>
      <c r="O153" s="1"/>
      <c r="P153" s="1"/>
      <c r="Q153" s="1"/>
      <c r="R153" s="1"/>
      <c r="S153" s="1"/>
      <c r="T153" s="1"/>
      <c r="U153" s="1"/>
    </row>
    <row r="154" spans="2:21">
      <c r="B154" s="1"/>
      <c r="C154" s="1"/>
      <c r="D154" s="1"/>
      <c r="E154" s="1"/>
      <c r="F154" s="1"/>
      <c r="G154" s="1"/>
      <c r="H154" s="1"/>
      <c r="I154" s="1"/>
      <c r="J154" s="1"/>
      <c r="K154" s="1"/>
      <c r="L154" s="1"/>
      <c r="M154" s="1"/>
      <c r="N154" s="1"/>
      <c r="O154" s="1"/>
      <c r="P154" s="1"/>
      <c r="Q154" s="1"/>
      <c r="R154" s="1"/>
      <c r="S154" s="1"/>
      <c r="T154" s="1"/>
      <c r="U154" s="1"/>
    </row>
    <row r="155" spans="2:21">
      <c r="B155" s="1"/>
      <c r="C155" s="1"/>
      <c r="D155" s="1"/>
      <c r="E155" s="1"/>
      <c r="F155" s="1"/>
      <c r="G155" s="1"/>
      <c r="H155" s="1"/>
      <c r="I155" s="1"/>
      <c r="J155" s="1"/>
      <c r="K155" s="1"/>
      <c r="L155" s="1"/>
      <c r="M155" s="1"/>
      <c r="N155" s="1"/>
      <c r="O155" s="1"/>
      <c r="P155" s="1"/>
      <c r="Q155" s="1"/>
      <c r="R155" s="1"/>
      <c r="S155" s="1"/>
      <c r="T155" s="1"/>
      <c r="U155" s="1"/>
    </row>
    <row r="156" spans="2:21">
      <c r="B156" s="1"/>
      <c r="C156" s="1"/>
      <c r="D156" s="1"/>
      <c r="E156" s="1"/>
      <c r="F156" s="1"/>
      <c r="G156" s="1"/>
      <c r="H156" s="1"/>
      <c r="I156" s="1"/>
      <c r="J156" s="1"/>
      <c r="K156" s="1"/>
      <c r="L156" s="1"/>
      <c r="M156" s="1"/>
      <c r="N156" s="1"/>
      <c r="O156" s="1"/>
      <c r="P156" s="1"/>
      <c r="Q156" s="1"/>
      <c r="R156" s="1"/>
      <c r="S156" s="1"/>
      <c r="T156" s="1"/>
      <c r="U156" s="1"/>
    </row>
    <row r="157" spans="2:21">
      <c r="B157" s="1"/>
      <c r="C157" s="1"/>
      <c r="D157" s="1"/>
      <c r="E157" s="1"/>
      <c r="F157" s="1"/>
      <c r="G157" s="1"/>
      <c r="H157" s="1"/>
      <c r="I157" s="1"/>
      <c r="J157" s="1"/>
      <c r="K157" s="1"/>
      <c r="L157" s="1"/>
      <c r="M157" s="1"/>
      <c r="N157" s="1"/>
      <c r="O157" s="1"/>
      <c r="P157" s="1"/>
      <c r="Q157" s="1"/>
      <c r="R157" s="1"/>
      <c r="S157" s="1"/>
      <c r="T157" s="1"/>
      <c r="U157" s="1"/>
    </row>
    <row r="158" spans="2:21">
      <c r="C158" s="1"/>
      <c r="D158" s="1"/>
      <c r="E158" s="1"/>
      <c r="F158" s="1"/>
      <c r="G158" s="1"/>
      <c r="H158" s="1"/>
      <c r="I158" s="1"/>
      <c r="J158" s="1"/>
      <c r="K158" s="1"/>
      <c r="L158" s="1"/>
      <c r="M158" s="1"/>
      <c r="N158" s="1"/>
      <c r="O158" s="1"/>
      <c r="P158" s="1"/>
      <c r="Q158" s="1"/>
      <c r="R158" s="1"/>
      <c r="S158" s="1"/>
      <c r="T158" s="1"/>
      <c r="U158" s="1"/>
    </row>
    <row r="159" spans="2:21">
      <c r="E159" s="1"/>
      <c r="F159" s="1"/>
      <c r="G159" s="1"/>
      <c r="H159" s="1"/>
      <c r="I159" s="1"/>
      <c r="J159" s="1"/>
      <c r="K159" s="1"/>
      <c r="L159" s="1"/>
      <c r="M159" s="1"/>
      <c r="N159" s="1"/>
      <c r="O159" s="1"/>
      <c r="R159" s="1"/>
      <c r="S159" s="1"/>
      <c r="T159" s="1"/>
      <c r="U159" s="1"/>
    </row>
    <row r="160" spans="2:21">
      <c r="E160" s="1"/>
      <c r="F160" s="1"/>
      <c r="G160" s="1"/>
      <c r="H160" s="1"/>
      <c r="I160" s="1"/>
      <c r="J160" s="1"/>
      <c r="K160" s="1"/>
      <c r="L160" s="1"/>
      <c r="M160" s="1"/>
      <c r="N160" s="1"/>
      <c r="O160" s="1"/>
      <c r="R160" s="1"/>
      <c r="S160" s="1"/>
      <c r="T160" s="1"/>
      <c r="U160" s="1"/>
    </row>
    <row r="161" spans="5:22">
      <c r="E161" s="1"/>
      <c r="F161" s="1"/>
      <c r="G161" s="1"/>
      <c r="H161" s="1"/>
      <c r="I161" s="1"/>
      <c r="J161" s="1"/>
      <c r="K161" s="1"/>
      <c r="L161" s="1"/>
      <c r="M161" s="1"/>
      <c r="N161" s="1"/>
      <c r="O161" s="1"/>
      <c r="R161" s="1"/>
      <c r="S161" s="1"/>
      <c r="T161" s="1"/>
      <c r="U161" s="1"/>
    </row>
    <row r="162" spans="5:22">
      <c r="E162" s="1"/>
      <c r="F162" s="1"/>
      <c r="G162" s="1"/>
      <c r="H162" s="1"/>
      <c r="I162" s="1"/>
      <c r="J162" s="1"/>
      <c r="K162" s="1"/>
      <c r="L162" s="1"/>
      <c r="M162" s="1"/>
      <c r="N162" s="1"/>
      <c r="O162" s="1"/>
      <c r="R162" s="1"/>
      <c r="S162" s="1"/>
      <c r="T162" s="1"/>
      <c r="U162" s="1"/>
    </row>
    <row r="163" spans="5:22">
      <c r="O163" s="1"/>
      <c r="R163" s="1"/>
      <c r="S163" s="1"/>
      <c r="T163" s="1"/>
      <c r="U163" s="1"/>
    </row>
    <row r="164" spans="5:22">
      <c r="O164" s="1"/>
      <c r="R164" s="1"/>
      <c r="S164" s="1"/>
      <c r="T164" s="1"/>
      <c r="U164" s="1"/>
      <c r="V164" s="1"/>
    </row>
    <row r="165" spans="5:22">
      <c r="O165" s="1"/>
      <c r="R165" s="1"/>
      <c r="S165" s="1"/>
      <c r="T165" s="1"/>
      <c r="U165" s="1"/>
    </row>
    <row r="166" spans="5:22">
      <c r="S166" s="1"/>
      <c r="T166" s="1"/>
      <c r="U166" s="1"/>
    </row>
    <row r="167" spans="5:22">
      <c r="S167" s="1"/>
      <c r="T167" s="1"/>
      <c r="U167" s="1"/>
    </row>
    <row r="168" spans="5:22">
      <c r="S168" s="1"/>
      <c r="T168" s="1"/>
      <c r="U168" s="1"/>
    </row>
    <row r="169" spans="5:22">
      <c r="S169" s="1"/>
      <c r="T169" s="1"/>
      <c r="U169" s="1"/>
    </row>
    <row r="170" spans="5:22">
      <c r="S170" s="1"/>
      <c r="T170" s="1"/>
      <c r="U170" s="1"/>
    </row>
    <row r="171" spans="5:22">
      <c r="S171" s="1"/>
      <c r="T171" s="1"/>
      <c r="U171" s="1"/>
    </row>
    <row r="172" spans="5:22">
      <c r="S172" s="1"/>
      <c r="T172" s="1"/>
      <c r="U172" s="1"/>
    </row>
    <row r="173" spans="5:22">
      <c r="S173" t="s">
        <v>7</v>
      </c>
    </row>
    <row r="174" spans="5:22">
      <c r="S174" t="s">
        <v>7</v>
      </c>
    </row>
  </sheetData>
  <sheetProtection password="E733" sheet="1" objects="1" scenarios="1"/>
  <mergeCells count="157">
    <mergeCell ref="S60:W60"/>
    <mergeCell ref="S74:W74"/>
    <mergeCell ref="S73:W73"/>
    <mergeCell ref="S72:W72"/>
    <mergeCell ref="S71:W71"/>
    <mergeCell ref="S70:W70"/>
    <mergeCell ref="S69:W69"/>
    <mergeCell ref="S68:W68"/>
    <mergeCell ref="S67:W67"/>
    <mergeCell ref="S65:W65"/>
    <mergeCell ref="S83:W83"/>
    <mergeCell ref="S82:W82"/>
    <mergeCell ref="S81:W81"/>
    <mergeCell ref="S80:W80"/>
    <mergeCell ref="S75:W75"/>
    <mergeCell ref="S64:W64"/>
    <mergeCell ref="S63:W63"/>
    <mergeCell ref="S62:W62"/>
    <mergeCell ref="S61:W61"/>
    <mergeCell ref="S103:W103"/>
    <mergeCell ref="S102:W102"/>
    <mergeCell ref="S101:W101"/>
    <mergeCell ref="S100:W100"/>
    <mergeCell ref="S91:W91"/>
    <mergeCell ref="S89:W89"/>
    <mergeCell ref="S86:W86"/>
    <mergeCell ref="S85:W85"/>
    <mergeCell ref="S84:W84"/>
    <mergeCell ref="S92:W92"/>
    <mergeCell ref="S90:W90"/>
    <mergeCell ref="S88:W88"/>
    <mergeCell ref="S132:W132"/>
    <mergeCell ref="S130:W130"/>
    <mergeCell ref="S120:W120"/>
    <mergeCell ref="S119:W119"/>
    <mergeCell ref="S118:W118"/>
    <mergeCell ref="S117:W117"/>
    <mergeCell ref="S116:W116"/>
    <mergeCell ref="S105:W105"/>
    <mergeCell ref="S104:W104"/>
    <mergeCell ref="S108:W108"/>
    <mergeCell ref="S107:W107"/>
    <mergeCell ref="S106:W106"/>
    <mergeCell ref="E129:K129"/>
    <mergeCell ref="E19:O19"/>
    <mergeCell ref="T13:U15"/>
    <mergeCell ref="S123:W123"/>
    <mergeCell ref="S124:W124"/>
    <mergeCell ref="S125:W125"/>
    <mergeCell ref="S126:W126"/>
    <mergeCell ref="S127:W127"/>
    <mergeCell ref="S128:W128"/>
    <mergeCell ref="S129:W129"/>
    <mergeCell ref="F105:H105"/>
    <mergeCell ref="F126:H126"/>
    <mergeCell ref="E109:J109"/>
    <mergeCell ref="E110:J110"/>
    <mergeCell ref="F114:H114"/>
    <mergeCell ref="E61:G61"/>
    <mergeCell ref="L69:O69"/>
    <mergeCell ref="H69:J69"/>
    <mergeCell ref="E124:J124"/>
    <mergeCell ref="E53:P53"/>
    <mergeCell ref="E26:Q26"/>
    <mergeCell ref="E27:P27"/>
    <mergeCell ref="E118:M118"/>
    <mergeCell ref="F121:H121"/>
    <mergeCell ref="E119:L119"/>
    <mergeCell ref="S2:V3"/>
    <mergeCell ref="E45:J45"/>
    <mergeCell ref="H2:J4"/>
    <mergeCell ref="K2:P4"/>
    <mergeCell ref="H8:J8"/>
    <mergeCell ref="K8:L8"/>
    <mergeCell ref="H6:J6"/>
    <mergeCell ref="K6:P6"/>
    <mergeCell ref="E29:K29"/>
    <mergeCell ref="E18:O18"/>
    <mergeCell ref="E22:O22"/>
    <mergeCell ref="B10:F11"/>
    <mergeCell ref="E32:J32"/>
    <mergeCell ref="M8:P8"/>
    <mergeCell ref="G11:L11"/>
    <mergeCell ref="T23:U26"/>
    <mergeCell ref="G10:L10"/>
    <mergeCell ref="T5:U6"/>
    <mergeCell ref="T16:U18"/>
    <mergeCell ref="T11:U12"/>
    <mergeCell ref="S9:V10"/>
    <mergeCell ref="E95:J95"/>
    <mergeCell ref="S57:W57"/>
    <mergeCell ref="B15:G15"/>
    <mergeCell ref="S79:W79"/>
    <mergeCell ref="S78:W78"/>
    <mergeCell ref="S77:W77"/>
    <mergeCell ref="S76:W76"/>
    <mergeCell ref="F113:H113"/>
    <mergeCell ref="F63:H63"/>
    <mergeCell ref="E46:P46"/>
    <mergeCell ref="E48:P48"/>
    <mergeCell ref="B17:G17"/>
    <mergeCell ref="O60:P63"/>
    <mergeCell ref="T19:U22"/>
    <mergeCell ref="E24:Q24"/>
    <mergeCell ref="E25:P25"/>
    <mergeCell ref="E20:O20"/>
    <mergeCell ref="E30:P31"/>
    <mergeCell ref="E50:J50"/>
    <mergeCell ref="S59:W59"/>
    <mergeCell ref="S58:W58"/>
    <mergeCell ref="S66:W66"/>
    <mergeCell ref="S56:W56"/>
    <mergeCell ref="K67:P68"/>
    <mergeCell ref="E43:P43"/>
    <mergeCell ref="E52:J52"/>
    <mergeCell ref="E128:J128"/>
    <mergeCell ref="F130:H130"/>
    <mergeCell ref="L85:O85"/>
    <mergeCell ref="S131:W131"/>
    <mergeCell ref="S99:W99"/>
    <mergeCell ref="S98:W98"/>
    <mergeCell ref="S97:W97"/>
    <mergeCell ref="S96:W96"/>
    <mergeCell ref="S95:W95"/>
    <mergeCell ref="S94:W94"/>
    <mergeCell ref="S93:W93"/>
    <mergeCell ref="S87:W87"/>
    <mergeCell ref="S121:W121"/>
    <mergeCell ref="S122:W122"/>
    <mergeCell ref="S115:W115"/>
    <mergeCell ref="S114:W114"/>
    <mergeCell ref="S113:W113"/>
    <mergeCell ref="S112:W112"/>
    <mergeCell ref="S111:W111"/>
    <mergeCell ref="S110:W110"/>
    <mergeCell ref="S109:W109"/>
    <mergeCell ref="E117:G117"/>
    <mergeCell ref="F112:H112"/>
    <mergeCell ref="E108:J108"/>
    <mergeCell ref="D21:O21"/>
    <mergeCell ref="E55:F55"/>
    <mergeCell ref="E47:J47"/>
    <mergeCell ref="L59:O59"/>
    <mergeCell ref="E79:F79"/>
    <mergeCell ref="E83:G83"/>
    <mergeCell ref="E67:J67"/>
    <mergeCell ref="E77:F77"/>
    <mergeCell ref="E84:G84"/>
    <mergeCell ref="E103:J103"/>
    <mergeCell ref="E102:J102"/>
    <mergeCell ref="E101:J101"/>
    <mergeCell ref="E96:J96"/>
    <mergeCell ref="E94:J94"/>
    <mergeCell ref="E92:N92"/>
    <mergeCell ref="E75:J75"/>
    <mergeCell ref="E72:J72"/>
    <mergeCell ref="F98:H98"/>
  </mergeCells>
  <dataValidations count="1">
    <dataValidation type="list" allowBlank="1" showInputMessage="1" showErrorMessage="1" sqref="R29">
      <formula1>$R$30:$R$45</formula1>
    </dataValidation>
  </dataValidations>
  <hyperlinks>
    <hyperlink ref="B10:F11" r:id="rId1" display="Notice :"/>
    <hyperlink ref="T11:U12" r:id="rId2" display="- Notre FAQ sur le sujet (lien ici)"/>
    <hyperlink ref="T16:U18" r:id="rId3" display="- Le décret 2020-1620 du 19/12/2020 (lien ici)"/>
    <hyperlink ref="T23:U26" r:id="rId4" display="- Notion de fermeture administrative définie au décret 2020-1310 du 29/10/2020 (lien ici)"/>
    <hyperlink ref="T13:U15" r:id="rId5" display="- Le décret 2020-1328 du 02/11/2020 (lien ici)"/>
    <hyperlink ref="T19:U22" r:id="rId6" display="- Notre résumé des décrets 2020-1328 et 2020-1620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666750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676275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31</xdr:row>
                    <xdr:rowOff>0</xdr:rowOff>
                  </from>
                  <to>
                    <xdr:col>9</xdr:col>
                    <xdr:colOff>542925</xdr:colOff>
                    <xdr:row>32</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19050</xdr:colOff>
                    <xdr:row>28</xdr:row>
                    <xdr:rowOff>9525</xdr:rowOff>
                  </from>
                  <to>
                    <xdr:col>9</xdr:col>
                    <xdr:colOff>542925</xdr:colOff>
                    <xdr:row>29</xdr:row>
                    <xdr:rowOff>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34</xdr:row>
                    <xdr:rowOff>180975</xdr:rowOff>
                  </from>
                  <to>
                    <xdr:col>12</xdr:col>
                    <xdr:colOff>800100</xdr:colOff>
                    <xdr:row>36</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35</xdr:row>
                    <xdr:rowOff>9525</xdr:rowOff>
                  </from>
                  <to>
                    <xdr:col>15</xdr:col>
                    <xdr:colOff>790575</xdr:colOff>
                    <xdr:row>36</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44</xdr:row>
                    <xdr:rowOff>9525</xdr:rowOff>
                  </from>
                  <to>
                    <xdr:col>9</xdr:col>
                    <xdr:colOff>571500</xdr:colOff>
                    <xdr:row>44</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46</xdr:row>
                    <xdr:rowOff>9525</xdr:rowOff>
                  </from>
                  <to>
                    <xdr:col>9</xdr:col>
                    <xdr:colOff>571500</xdr:colOff>
                    <xdr:row>46</xdr:row>
                    <xdr:rowOff>180975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3</xdr:col>
                    <xdr:colOff>19050</xdr:colOff>
                    <xdr:row>23</xdr:row>
                    <xdr:rowOff>9525</xdr:rowOff>
                  </from>
                  <to>
                    <xdr:col>10</xdr:col>
                    <xdr:colOff>47625</xdr:colOff>
                    <xdr:row>24</xdr:row>
                    <xdr:rowOff>9525</xdr:rowOff>
                  </to>
                </anchor>
              </controlPr>
            </control>
          </mc:Choice>
        </mc:AlternateContent>
        <mc:AlternateContent xmlns:mc="http://schemas.openxmlformats.org/markup-compatibility/2006">
          <mc:Choice Requires="x14">
            <control shapeId="2063" r:id="rId19" name="Check Box 15">
              <controlPr defaultSize="0" autoFill="0" autoLine="0" autoPict="0" altText="Interdiction d'accueil du public (du ... au ...)">
                <anchor moveWithCells="1">
                  <from>
                    <xdr:col>3</xdr:col>
                    <xdr:colOff>19050</xdr:colOff>
                    <xdr:row>49</xdr:row>
                    <xdr:rowOff>9525</xdr:rowOff>
                  </from>
                  <to>
                    <xdr:col>9</xdr:col>
                    <xdr:colOff>571500</xdr:colOff>
                    <xdr:row>49</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ltText="Interdiction d'accueil du public (du ... au ...)">
                <anchor moveWithCells="1">
                  <from>
                    <xdr:col>3</xdr:col>
                    <xdr:colOff>19050</xdr:colOff>
                    <xdr:row>51</xdr:row>
                    <xdr:rowOff>9525</xdr:rowOff>
                  </from>
                  <to>
                    <xdr:col>9</xdr:col>
                    <xdr:colOff>571500</xdr:colOff>
                    <xdr:row>51</xdr:row>
                    <xdr:rowOff>180975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19050</xdr:colOff>
                    <xdr:row>25</xdr:row>
                    <xdr:rowOff>9525</xdr:rowOff>
                  </from>
                  <to>
                    <xdr:col>10</xdr:col>
                    <xdr:colOff>47625</xdr:colOff>
                    <xdr:row>25</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294"/>
  <sheetViews>
    <sheetView showGridLines="0" workbookViewId="0"/>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77"/>
      <c r="D3" s="77"/>
      <c r="E3" s="77"/>
      <c r="F3" s="417" t="s">
        <v>132</v>
      </c>
      <c r="G3" s="417"/>
      <c r="H3" s="417"/>
      <c r="I3" s="417"/>
      <c r="J3" s="417"/>
      <c r="K3" s="417"/>
      <c r="L3" s="417"/>
      <c r="M3" s="417"/>
      <c r="N3" s="417"/>
      <c r="O3" s="417"/>
      <c r="R3" s="109"/>
    </row>
    <row r="4" spans="2:34" ht="15" customHeight="1">
      <c r="B4" s="77"/>
      <c r="C4" s="77"/>
      <c r="D4" s="77"/>
      <c r="E4" s="77"/>
      <c r="F4" s="417"/>
      <c r="G4" s="417"/>
      <c r="H4" s="417"/>
      <c r="I4" s="417"/>
      <c r="J4" s="417"/>
      <c r="K4" s="417"/>
      <c r="L4" s="417"/>
      <c r="M4" s="417"/>
      <c r="N4" s="417"/>
      <c r="O4" s="417"/>
      <c r="P4" s="99"/>
    </row>
    <row r="5" spans="2:34" ht="15" customHeight="1">
      <c r="B5" s="77"/>
      <c r="C5" s="77"/>
      <c r="D5" s="77"/>
      <c r="E5" s="77"/>
      <c r="F5" s="417"/>
      <c r="G5" s="417"/>
      <c r="H5" s="417"/>
      <c r="I5" s="417"/>
      <c r="J5" s="417"/>
      <c r="K5" s="417"/>
      <c r="L5" s="417"/>
      <c r="M5" s="417"/>
      <c r="N5" s="417"/>
      <c r="O5" s="417"/>
    </row>
    <row r="6" spans="2:34" ht="15" customHeight="1">
      <c r="B6" s="77"/>
      <c r="C6" s="77"/>
      <c r="D6" s="77"/>
      <c r="E6" s="77"/>
      <c r="F6" s="417"/>
      <c r="G6" s="417"/>
      <c r="H6" s="417"/>
      <c r="I6" s="417"/>
      <c r="J6" s="417"/>
      <c r="K6" s="417"/>
      <c r="L6" s="417"/>
      <c r="M6" s="417"/>
      <c r="N6" s="417"/>
      <c r="O6" s="417"/>
    </row>
    <row r="7" spans="2:34">
      <c r="B7" s="9"/>
      <c r="C7" s="9"/>
      <c r="D7" s="9"/>
      <c r="E7" s="9"/>
      <c r="F7" s="9"/>
      <c r="G7" s="108"/>
      <c r="H7" s="9"/>
      <c r="I7" s="9"/>
      <c r="J7" s="9"/>
      <c r="K7" s="9"/>
      <c r="L7" s="9"/>
      <c r="M7" s="9"/>
      <c r="N7" s="9"/>
    </row>
    <row r="8" spans="2:34" ht="15.75">
      <c r="B8" s="418" t="s">
        <v>34</v>
      </c>
      <c r="C8" s="418"/>
      <c r="D8" s="418"/>
      <c r="E8" s="418"/>
      <c r="F8" s="418"/>
      <c r="G8" s="418"/>
      <c r="H8" s="418"/>
      <c r="I8" s="418"/>
      <c r="J8" s="418"/>
      <c r="K8" s="418"/>
      <c r="L8" s="418"/>
      <c r="M8" s="418"/>
      <c r="N8" s="418"/>
      <c r="O8" s="418"/>
    </row>
    <row r="9" spans="2:34" ht="15" customHeight="1">
      <c r="B9" s="419" t="s">
        <v>33</v>
      </c>
      <c r="C9" s="419"/>
      <c r="D9" s="419"/>
      <c r="E9" s="419"/>
      <c r="F9" s="419"/>
      <c r="G9" s="419"/>
      <c r="H9" s="419"/>
      <c r="I9" s="419"/>
      <c r="J9" s="419"/>
      <c r="K9" s="419"/>
      <c r="L9" s="419"/>
      <c r="M9" s="419"/>
      <c r="N9" s="419"/>
      <c r="O9" s="419"/>
    </row>
    <row r="10" spans="2:34" ht="15" customHeight="1">
      <c r="B10" s="419"/>
      <c r="C10" s="419"/>
      <c r="D10" s="419"/>
      <c r="E10" s="419"/>
      <c r="F10" s="419"/>
      <c r="G10" s="419"/>
      <c r="H10" s="419"/>
      <c r="I10" s="419"/>
      <c r="J10" s="419"/>
      <c r="K10" s="419"/>
      <c r="L10" s="419"/>
      <c r="M10" s="419"/>
      <c r="N10" s="419"/>
      <c r="O10" s="419"/>
    </row>
    <row r="11" spans="2:34" ht="15.75">
      <c r="B11" s="418" t="s">
        <v>66</v>
      </c>
      <c r="C11" s="418"/>
      <c r="D11" s="418"/>
      <c r="E11" s="418"/>
      <c r="F11" s="418"/>
      <c r="G11" s="418"/>
      <c r="H11" s="418"/>
      <c r="I11" s="418"/>
      <c r="J11" s="418"/>
      <c r="K11" s="418"/>
      <c r="L11" s="418"/>
      <c r="M11" s="418"/>
      <c r="N11" s="418"/>
      <c r="O11" s="418"/>
      <c r="P11" s="99"/>
      <c r="Q11" s="99"/>
      <c r="R11" s="99"/>
      <c r="S11" s="99"/>
    </row>
    <row r="12" spans="2:34">
      <c r="R12" t="s">
        <v>7</v>
      </c>
    </row>
    <row r="13" spans="2:34">
      <c r="B13" s="296" t="s">
        <v>69</v>
      </c>
      <c r="C13" s="296"/>
      <c r="D13" s="296"/>
      <c r="E13" s="296"/>
      <c r="F13" s="296"/>
      <c r="G13" s="296"/>
      <c r="H13" s="296"/>
      <c r="I13" s="296"/>
      <c r="J13" s="296"/>
      <c r="K13" s="296"/>
      <c r="L13" s="296"/>
      <c r="M13" s="296"/>
      <c r="N13" s="296"/>
      <c r="O13" s="296"/>
      <c r="S13" s="109"/>
      <c r="T13" s="430" t="s">
        <v>32</v>
      </c>
      <c r="U13" s="430"/>
      <c r="V13" s="430"/>
      <c r="W13" s="430"/>
      <c r="X13" s="430"/>
      <c r="Y13" s="430"/>
      <c r="Z13" s="430"/>
      <c r="AA13" s="430"/>
      <c r="AB13" s="430"/>
      <c r="AC13" s="430"/>
      <c r="AD13" s="430"/>
      <c r="AE13" s="430"/>
      <c r="AF13" s="1"/>
      <c r="AG13" s="1"/>
      <c r="AH13" s="1"/>
    </row>
    <row r="14" spans="2:34" ht="16.5" customHeight="1">
      <c r="B14" s="220"/>
      <c r="C14" s="220"/>
      <c r="D14" s="220"/>
      <c r="E14" s="220"/>
      <c r="F14" s="220"/>
      <c r="G14" s="220"/>
      <c r="H14" s="220"/>
      <c r="I14" s="220"/>
      <c r="J14" s="220"/>
      <c r="K14" s="220"/>
      <c r="L14" s="220"/>
      <c r="M14" s="220"/>
      <c r="N14" s="220"/>
      <c r="O14" s="220"/>
      <c r="S14" s="109"/>
      <c r="T14" s="430"/>
      <c r="U14" s="430"/>
      <c r="V14" s="430"/>
      <c r="W14" s="430"/>
      <c r="X14" s="430"/>
      <c r="Y14" s="430"/>
      <c r="Z14" s="430"/>
      <c r="AA14" s="430"/>
      <c r="AB14" s="430"/>
      <c r="AC14" s="430"/>
      <c r="AD14" s="430"/>
      <c r="AE14" s="430"/>
      <c r="AF14" s="1"/>
      <c r="AG14" s="1"/>
      <c r="AH14" s="1"/>
    </row>
    <row r="15" spans="2:34" ht="15.75" thickBot="1">
      <c r="B15" s="228"/>
      <c r="C15" s="228"/>
      <c r="D15" s="228"/>
      <c r="E15" s="228"/>
      <c r="F15" s="228"/>
      <c r="G15" s="228"/>
      <c r="H15" s="228"/>
      <c r="I15" s="228"/>
      <c r="J15" s="228"/>
      <c r="K15" s="228"/>
      <c r="L15" s="228"/>
      <c r="M15" s="228"/>
      <c r="N15" s="228"/>
      <c r="O15" s="228"/>
      <c r="S15" s="109"/>
      <c r="T15" s="430"/>
      <c r="U15" s="430"/>
      <c r="V15" s="430"/>
      <c r="W15" s="430"/>
      <c r="X15" s="430"/>
      <c r="Y15" s="430"/>
      <c r="Z15" s="430"/>
      <c r="AA15" s="430"/>
      <c r="AB15" s="430"/>
      <c r="AC15" s="430"/>
      <c r="AD15" s="430"/>
      <c r="AE15" s="430"/>
      <c r="AF15" s="1"/>
      <c r="AG15" s="1"/>
      <c r="AH15" s="1"/>
    </row>
    <row r="16" spans="2:34" ht="15" customHeight="1">
      <c r="B16" s="382">
        <v>2020</v>
      </c>
      <c r="C16" s="382"/>
      <c r="D16" s="382"/>
      <c r="E16" s="382"/>
      <c r="F16" s="382"/>
      <c r="G16" s="382"/>
      <c r="H16" s="382"/>
      <c r="I16" s="382"/>
      <c r="J16" s="382"/>
      <c r="K16" s="382"/>
      <c r="L16" s="382"/>
      <c r="M16" s="382"/>
      <c r="N16" s="382"/>
      <c r="O16" s="382"/>
      <c r="S16" s="109"/>
      <c r="T16" s="430"/>
      <c r="U16" s="430"/>
      <c r="V16" s="430"/>
      <c r="W16" s="430"/>
      <c r="X16" s="430"/>
      <c r="Y16" s="430"/>
      <c r="Z16" s="430"/>
      <c r="AA16" s="430"/>
      <c r="AB16" s="430"/>
      <c r="AC16" s="430"/>
      <c r="AD16" s="430"/>
      <c r="AE16" s="430"/>
      <c r="AF16" s="1"/>
      <c r="AG16" s="1"/>
      <c r="AH16" s="1"/>
    </row>
    <row r="17" spans="2:34" ht="15.75" customHeight="1" thickBot="1">
      <c r="B17" s="383"/>
      <c r="C17" s="383"/>
      <c r="D17" s="383"/>
      <c r="E17" s="383"/>
      <c r="F17" s="383"/>
      <c r="G17" s="383"/>
      <c r="H17" s="383"/>
      <c r="I17" s="383"/>
      <c r="J17" s="383"/>
      <c r="K17" s="383"/>
      <c r="L17" s="383"/>
      <c r="M17" s="383"/>
      <c r="N17" s="383"/>
      <c r="O17" s="383"/>
      <c r="S17" s="109"/>
      <c r="T17" s="430"/>
      <c r="U17" s="430"/>
      <c r="V17" s="430"/>
      <c r="W17" s="430"/>
      <c r="X17" s="430"/>
      <c r="Y17" s="430"/>
      <c r="Z17" s="430"/>
      <c r="AA17" s="430"/>
      <c r="AB17" s="430"/>
      <c r="AC17" s="430"/>
      <c r="AD17" s="430"/>
      <c r="AE17" s="430"/>
      <c r="AF17" s="1"/>
      <c r="AG17" s="1"/>
      <c r="AH17" s="1"/>
    </row>
    <row r="18" spans="2:34">
      <c r="S18" s="109"/>
      <c r="T18" s="430"/>
      <c r="U18" s="430"/>
      <c r="V18" s="430"/>
      <c r="W18" s="430"/>
      <c r="X18" s="430"/>
      <c r="Y18" s="430"/>
      <c r="Z18" s="430"/>
      <c r="AA18" s="430"/>
      <c r="AB18" s="430"/>
      <c r="AC18" s="430"/>
      <c r="AD18" s="430"/>
      <c r="AE18" s="430"/>
      <c r="AF18" s="1"/>
      <c r="AG18" s="1"/>
      <c r="AH18" s="1"/>
    </row>
    <row r="19" spans="2:34">
      <c r="S19" s="109"/>
      <c r="T19" s="430"/>
      <c r="U19" s="430"/>
      <c r="V19" s="430"/>
      <c r="W19" s="430"/>
      <c r="X19" s="430"/>
      <c r="Y19" s="430"/>
      <c r="Z19" s="430"/>
      <c r="AA19" s="430"/>
      <c r="AB19" s="430"/>
      <c r="AC19" s="430"/>
      <c r="AD19" s="430"/>
      <c r="AE19" s="430"/>
      <c r="AF19" s="1"/>
      <c r="AG19" s="1"/>
      <c r="AH19" s="1"/>
    </row>
    <row r="20" spans="2:34" ht="19.5" customHeight="1" thickBot="1">
      <c r="B20" s="226"/>
      <c r="C20" s="414" t="s">
        <v>19</v>
      </c>
      <c r="D20" s="414"/>
      <c r="E20" s="414"/>
      <c r="F20" s="414"/>
      <c r="G20" s="414"/>
      <c r="H20" s="414"/>
      <c r="I20" s="227"/>
      <c r="J20" s="226"/>
      <c r="K20" s="226"/>
      <c r="L20" s="226"/>
      <c r="M20" s="226"/>
      <c r="N20" s="226"/>
      <c r="O20" s="226"/>
      <c r="T20" s="430"/>
      <c r="U20" s="430"/>
      <c r="V20" s="430"/>
      <c r="W20" s="430"/>
      <c r="X20" s="430"/>
      <c r="Y20" s="430"/>
      <c r="Z20" s="430"/>
      <c r="AA20" s="430"/>
      <c r="AB20" s="430"/>
      <c r="AC20" s="430"/>
      <c r="AD20" s="430"/>
      <c r="AE20" s="430"/>
      <c r="AF20" s="1"/>
      <c r="AG20" s="1"/>
      <c r="AH20" s="1"/>
    </row>
    <row r="21" spans="2:34" ht="15" customHeight="1">
      <c r="B21" s="1"/>
      <c r="C21" s="111"/>
      <c r="D21" s="111"/>
      <c r="E21" s="111"/>
      <c r="F21" s="111"/>
      <c r="G21" s="111"/>
      <c r="H21" s="111"/>
      <c r="I21" s="44"/>
      <c r="J21" s="1"/>
      <c r="K21" s="1"/>
      <c r="L21" s="1"/>
      <c r="M21" s="1"/>
      <c r="N21" s="1"/>
      <c r="O21" s="1"/>
      <c r="S21" s="109"/>
      <c r="T21" s="107"/>
      <c r="U21" s="107"/>
      <c r="V21" s="107"/>
      <c r="W21" s="107"/>
      <c r="X21" s="107"/>
      <c r="Y21" s="107"/>
      <c r="Z21" s="107"/>
      <c r="AA21" s="107"/>
      <c r="AB21" s="107"/>
      <c r="AC21" s="107"/>
      <c r="AD21" s="107"/>
      <c r="AE21" s="107"/>
      <c r="AF21" s="1"/>
      <c r="AG21" s="1"/>
      <c r="AH21" s="1"/>
    </row>
    <row r="22" spans="2:34" ht="15.75" thickBot="1">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hidden="1" customHeight="1">
      <c r="B23" s="40"/>
      <c r="C23" s="288" t="s">
        <v>28</v>
      </c>
      <c r="D23" s="288"/>
      <c r="E23" s="288"/>
      <c r="F23" s="288"/>
      <c r="G23" s="288"/>
      <c r="H23" s="288"/>
      <c r="I23" s="288"/>
      <c r="J23" s="40"/>
      <c r="K23" s="40"/>
      <c r="L23" s="40"/>
      <c r="M23" s="40"/>
      <c r="N23" s="40"/>
      <c r="O23" s="40"/>
      <c r="S23" s="109"/>
      <c r="T23" s="25"/>
      <c r="U23" s="379" t="s">
        <v>20</v>
      </c>
      <c r="V23" s="379"/>
      <c r="W23" s="379"/>
      <c r="X23" s="1"/>
      <c r="Y23" s="117" t="s">
        <v>6</v>
      </c>
      <c r="Z23" s="117"/>
      <c r="AA23" s="126"/>
      <c r="AB23" s="117" t="s">
        <v>23</v>
      </c>
      <c r="AC23" s="117"/>
      <c r="AD23" s="126"/>
      <c r="AE23" s="26" t="s">
        <v>24</v>
      </c>
      <c r="AF23" s="1"/>
      <c r="AG23" s="1"/>
      <c r="AH23" s="1"/>
    </row>
    <row r="24" spans="2:34" ht="15" hidden="1" customHeight="1">
      <c r="B24" s="40"/>
      <c r="C24" s="60" t="s">
        <v>7</v>
      </c>
      <c r="D24" s="115" t="s">
        <v>36</v>
      </c>
      <c r="E24" s="115"/>
      <c r="F24" s="115"/>
      <c r="G24" s="115"/>
      <c r="H24" s="115"/>
      <c r="I24" s="115"/>
      <c r="J24" s="45"/>
      <c r="K24" s="45"/>
      <c r="L24" s="45"/>
      <c r="M24" s="40"/>
      <c r="N24" s="40"/>
      <c r="O24" s="40"/>
      <c r="S24" s="109"/>
      <c r="T24" s="378" t="s">
        <v>21</v>
      </c>
      <c r="U24" s="379"/>
      <c r="V24" s="379"/>
      <c r="W24" s="379"/>
      <c r="X24" s="1"/>
      <c r="Y24" s="21">
        <f>'Mon Entreprise'!I71</f>
        <v>0</v>
      </c>
      <c r="Z24" s="21"/>
      <c r="AA24" s="22"/>
      <c r="AB24" s="21">
        <f>IF('Mon Entreprise'!I71-'Mon Entreprise'!M71&lt;0,0,'Mon Entreprise'!I71-'Mon Entreprise'!M71)</f>
        <v>0</v>
      </c>
      <c r="AC24" s="1"/>
      <c r="AD24" s="14"/>
      <c r="AE24" s="27">
        <f>IFERROR(1-'Mon Entreprise'!M71/'Mon Entreprise'!I71,0)</f>
        <v>0</v>
      </c>
      <c r="AF24" s="1"/>
      <c r="AG24" s="1"/>
      <c r="AH24" s="1"/>
    </row>
    <row r="25" spans="2:34" ht="15" hidden="1" customHeight="1">
      <c r="B25" s="40"/>
      <c r="C25" s="60"/>
      <c r="D25" s="60" t="str">
        <f>"Nombre de jours de fermetures au mois de Septembre : "&amp;IF(Annexes!M5=FALSE,0,IF(Annexes!O5=1,0,Annexes!O5-1))&amp;" jour(s)"</f>
        <v>Nombre de jours de fermetures au mois de Septembre : 0 jour(s)</v>
      </c>
      <c r="E25" s="60"/>
      <c r="F25" s="60"/>
      <c r="G25" s="60"/>
      <c r="H25" s="60"/>
      <c r="I25" s="60"/>
      <c r="J25" s="40"/>
      <c r="K25" s="40"/>
      <c r="L25" s="40"/>
      <c r="M25" s="40"/>
      <c r="N25" s="40"/>
      <c r="O25" s="40"/>
      <c r="S25" s="109"/>
      <c r="T25" s="378" t="s">
        <v>25</v>
      </c>
      <c r="U25" s="379"/>
      <c r="V25" s="379"/>
      <c r="W25" s="379"/>
      <c r="X25" s="1"/>
      <c r="Y25" s="21">
        <f>'Mon Entreprise'!I61*(Annexes!O5-1)/360</f>
        <v>0</v>
      </c>
      <c r="Z25" s="21"/>
      <c r="AA25" s="22"/>
      <c r="AB25" s="21">
        <f>IF('Mon Entreprise'!I61*(Annexes!O5-1)/360-'Mon Entreprise'!M71&lt;0,0,'Mon Entreprise'!I61*(Annexes!O5-1)/360-'Mon Entreprise'!M71)</f>
        <v>0</v>
      </c>
      <c r="AC25" s="7"/>
      <c r="AD25" s="14"/>
      <c r="AE25" s="27">
        <f>IFERROR(1-'Mon Entreprise'!M71/('Mon Entreprise'!I61*(Annexes!O5-1)/360),0)</f>
        <v>0</v>
      </c>
      <c r="AF25" s="1"/>
      <c r="AG25" s="1"/>
      <c r="AH25" s="1"/>
    </row>
    <row r="26" spans="2:34" ht="15" hidden="1" customHeight="1">
      <c r="B26" s="40"/>
      <c r="C26" s="60"/>
      <c r="D26" s="60"/>
      <c r="E26" s="115" t="str">
        <f>IF(Annexes!M5=FALSE,"Vous n'avez pas coché la case Fermeture administrative de Septembre à Octobre",IF(Annexes!O5=1,"Vous n'avez pas de jour de fermeture en septembre",""))</f>
        <v>Vous n'avez pas coché la case Fermeture administrative de Septembre à Octobre</v>
      </c>
      <c r="F26" s="100"/>
      <c r="G26" s="100"/>
      <c r="H26" s="100"/>
      <c r="I26" s="100"/>
      <c r="J26" s="57"/>
      <c r="K26" s="57"/>
      <c r="L26" s="57"/>
      <c r="M26" s="40"/>
      <c r="N26" s="40"/>
      <c r="O26" s="40"/>
      <c r="S26" s="109"/>
      <c r="T26" s="378" t="s">
        <v>22</v>
      </c>
      <c r="U26" s="379"/>
      <c r="V26" s="379"/>
      <c r="W26" s="379"/>
      <c r="X26" s="1"/>
      <c r="Y26" s="23" t="str">
        <f>IFERROR(IF(AND('Mon Entreprise'!K8&gt;=Annexes!U18,'Mon Entreprise'!K8&lt;=Annexes!U23),'Mon Entreprise'!I121,IF('Mon Entreprise'!K8&gt;=Annexes!S20,'Mon Entreprise'!I113,"NC")),"NC")</f>
        <v>NC</v>
      </c>
      <c r="Z26" s="23"/>
      <c r="AA26" s="22"/>
      <c r="AB26" s="23" t="str">
        <f>IFERROR(IF(AND('Mon Entreprise'!K8&gt;=Annexes!U18,'Mon Entreprise'!K8&lt;=Annexes!U23),IF('Mon Entreprise'!I121-'Mon Entreprise'!I74&lt;0,0,'Mon Entreprise'!I121-'Mon Entreprise'!I74),IF('Mon Entreprise'!K8&gt;=Annexes!S20,IF('Mon Entreprise'!I113-'Mon Entreprise'!I74&lt;0,0,'Mon Entreprise'!I113-'Mon Entreprise'!I74),"NC")),"NC")</f>
        <v>NC</v>
      </c>
      <c r="AC26" s="118"/>
      <c r="AD26" s="14"/>
      <c r="AE26" s="28" t="str">
        <f>IFERROR(IF(AND('Mon Entreprise'!K8&gt;=Annexes!U18,'Mon Entreprise'!K8&lt;=Annexes!U24),1-'Mon Entreprise'!I74/'Mon Entreprise'!I121,IF('Mon Entreprise'!K8&gt;=Annexes!S20,1-'Mon Entreprise'!I74/'Mon Entreprise'!I113,"NC")),"NC")</f>
        <v>NC</v>
      </c>
      <c r="AF26" s="1"/>
      <c r="AG26" s="1"/>
      <c r="AH26" s="1"/>
    </row>
    <row r="27" spans="2:34" ht="15" hidden="1" customHeight="1">
      <c r="B27" s="40"/>
      <c r="C27" s="60"/>
      <c r="D27" s="60" t="str">
        <f>IFERROR(IF('Mon Entreprise'!K8&gt;=Annexes!S20,IF(AB24&gt;=AB26,"Le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hidden="1"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420"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Septembre",IF(AB32&gt;Annexes!S7*(Annexes!O5-1),"Dans votre cas, l'aide est Plafonnée sur 333 €/jour, soit "&amp;Annexes!S7*(Annexes!O5-1)&amp;"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21"/>
      <c r="F29" s="421"/>
      <c r="G29" s="421"/>
      <c r="H29" s="421"/>
      <c r="I29" s="421"/>
      <c r="J29" s="421"/>
      <c r="K29" s="421"/>
      <c r="L29" s="421"/>
      <c r="M29" s="421"/>
      <c r="N29" s="421"/>
      <c r="O29" s="422"/>
      <c r="S29" s="109"/>
      <c r="T29" s="14"/>
      <c r="U29" s="377" t="s">
        <v>74</v>
      </c>
      <c r="V29" s="377"/>
      <c r="W29" s="377"/>
      <c r="X29" s="377"/>
      <c r="Y29" s="377"/>
      <c r="Z29" s="129"/>
      <c r="AA29" s="14"/>
      <c r="AB29" s="118" t="str">
        <f>IF('Mon Entreprise'!K8&lt;=Annexes!U23,"Oui","Non")</f>
        <v>Oui</v>
      </c>
      <c r="AC29" s="1"/>
      <c r="AD29" s="1"/>
      <c r="AE29" s="13"/>
      <c r="AF29" s="1"/>
      <c r="AG29" s="1"/>
      <c r="AH29" s="1"/>
    </row>
    <row r="30" spans="2:34" ht="15" customHeight="1">
      <c r="B30" s="1"/>
      <c r="C30" s="1"/>
      <c r="D30" s="423"/>
      <c r="E30" s="390"/>
      <c r="F30" s="390"/>
      <c r="G30" s="390"/>
      <c r="H30" s="390"/>
      <c r="I30" s="390"/>
      <c r="J30" s="390"/>
      <c r="K30" s="390"/>
      <c r="L30" s="390"/>
      <c r="M30" s="390"/>
      <c r="N30" s="390"/>
      <c r="O30" s="424"/>
      <c r="P30" s="1"/>
      <c r="Q30" s="1"/>
      <c r="R30" s="1"/>
      <c r="S30" s="109"/>
      <c r="T30" s="14"/>
      <c r="U30" s="379" t="s">
        <v>81</v>
      </c>
      <c r="V30" s="379"/>
      <c r="W30" s="379"/>
      <c r="X30" s="379"/>
      <c r="Y30" s="379"/>
      <c r="Z30" s="118"/>
      <c r="AA30" s="14"/>
      <c r="AB30" s="118">
        <f>IF(Annexes!M5=FALSE,0,IF(Annexes!O5=1,0,Annexes!O5-1))</f>
        <v>0</v>
      </c>
      <c r="AC30" s="1"/>
      <c r="AD30" s="1"/>
      <c r="AE30" s="13"/>
      <c r="AF30" s="1"/>
      <c r="AG30" s="1"/>
      <c r="AH30" s="1"/>
    </row>
    <row r="31" spans="2:34" ht="15" customHeight="1">
      <c r="B31" s="1"/>
      <c r="C31" s="1"/>
      <c r="D31" s="423"/>
      <c r="E31" s="390"/>
      <c r="F31" s="390"/>
      <c r="G31" s="390"/>
      <c r="H31" s="390"/>
      <c r="I31" s="390"/>
      <c r="J31" s="390"/>
      <c r="K31" s="390"/>
      <c r="L31" s="390"/>
      <c r="M31" s="390"/>
      <c r="N31" s="390"/>
      <c r="O31" s="424"/>
      <c r="P31" s="1"/>
      <c r="Q31" s="1"/>
      <c r="R31" s="1"/>
      <c r="S31" s="1"/>
      <c r="T31" s="14"/>
      <c r="U31" s="379" t="s">
        <v>82</v>
      </c>
      <c r="V31" s="379"/>
      <c r="W31" s="379"/>
      <c r="X31" s="379"/>
      <c r="Y31" s="379"/>
      <c r="Z31" s="118"/>
      <c r="AA31" s="14"/>
      <c r="AB31" s="118" t="str">
        <f>IF(Annexes!M5=FALSE,"Non",IF(Annexes!O5=1,"Non","Oui"))</f>
        <v>Non</v>
      </c>
      <c r="AC31" s="1"/>
      <c r="AD31" s="1"/>
      <c r="AE31" s="13"/>
      <c r="AF31" s="1"/>
      <c r="AG31" s="1"/>
      <c r="AH31" s="1"/>
    </row>
    <row r="32" spans="2:34" ht="15" customHeight="1">
      <c r="B32" s="1"/>
      <c r="C32" s="1"/>
      <c r="D32" s="423"/>
      <c r="E32" s="390"/>
      <c r="F32" s="390"/>
      <c r="G32" s="390"/>
      <c r="H32" s="390"/>
      <c r="I32" s="390"/>
      <c r="J32" s="390"/>
      <c r="K32" s="390"/>
      <c r="L32" s="390"/>
      <c r="M32" s="390"/>
      <c r="N32" s="390"/>
      <c r="O32" s="424"/>
      <c r="P32" s="1"/>
      <c r="Q32" s="1"/>
      <c r="R32" s="1"/>
      <c r="S32" s="1"/>
      <c r="T32" s="14"/>
      <c r="U32" s="379" t="s">
        <v>93</v>
      </c>
      <c r="V32" s="379"/>
      <c r="W32" s="379"/>
      <c r="X32" s="379"/>
      <c r="Y32" s="379"/>
      <c r="Z32" s="130"/>
      <c r="AA32" s="14"/>
      <c r="AB32" s="118">
        <f>IF('Mon Entreprise'!K8&gt;=Annexes!S20,IF(AB24&gt;=AB26,AB24,AB26),IF(AB24&gt;=AB25,AB24,AB25))</f>
        <v>0</v>
      </c>
      <c r="AC32" s="1"/>
      <c r="AD32" s="1"/>
      <c r="AE32" s="13"/>
      <c r="AF32" s="1"/>
      <c r="AG32" s="1"/>
      <c r="AH32" s="1"/>
    </row>
    <row r="33" spans="2:34" ht="15.75" thickBot="1">
      <c r="B33" s="1"/>
      <c r="C33" s="1"/>
      <c r="D33" s="425"/>
      <c r="E33" s="426"/>
      <c r="F33" s="426"/>
      <c r="G33" s="426"/>
      <c r="H33" s="426"/>
      <c r="I33" s="426"/>
      <c r="J33" s="426"/>
      <c r="K33" s="426"/>
      <c r="L33" s="426"/>
      <c r="M33" s="426"/>
      <c r="N33" s="426"/>
      <c r="O33" s="427"/>
      <c r="P33" s="1"/>
      <c r="Q33" s="1"/>
      <c r="R33" s="1"/>
      <c r="S33" s="1"/>
      <c r="T33" s="14"/>
      <c r="U33" s="1"/>
      <c r="V33" s="1"/>
      <c r="W33" s="1"/>
      <c r="X33" s="1"/>
      <c r="Y33" s="1"/>
      <c r="Z33" s="1"/>
      <c r="AA33" s="1"/>
      <c r="AB33" s="1"/>
      <c r="AC33" s="1"/>
      <c r="AD33" s="1"/>
      <c r="AE33" s="13"/>
      <c r="AF33" s="1"/>
      <c r="AG33" s="1"/>
      <c r="AH33" s="1"/>
    </row>
    <row r="34" spans="2:34">
      <c r="B34" s="1"/>
      <c r="C34" s="1"/>
      <c r="D34" s="55" t="s">
        <v>86</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7"/>
      <c r="C37" s="414" t="s">
        <v>31</v>
      </c>
      <c r="D37" s="414"/>
      <c r="E37" s="414"/>
      <c r="F37" s="414"/>
      <c r="G37" s="414"/>
      <c r="H37" s="414"/>
      <c r="I37" s="227"/>
      <c r="J37" s="227"/>
      <c r="K37" s="227"/>
      <c r="L37" s="227"/>
      <c r="M37" s="227"/>
      <c r="N37" s="227"/>
      <c r="O37" s="227"/>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hidden="1">
      <c r="B39" s="40"/>
      <c r="C39" s="60" t="s">
        <v>101</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hidden="1">
      <c r="B40" s="40"/>
      <c r="C40" s="60"/>
      <c r="D40" s="121" t="s">
        <v>26</v>
      </c>
      <c r="E40" s="40"/>
      <c r="F40" s="40"/>
      <c r="G40" s="40"/>
      <c r="H40" s="40"/>
      <c r="I40" s="40"/>
      <c r="J40" s="40"/>
      <c r="K40" s="40"/>
      <c r="L40" s="40"/>
      <c r="M40" s="40"/>
      <c r="N40" s="40"/>
      <c r="O40" s="40"/>
      <c r="T40" s="25"/>
      <c r="U40" s="379" t="s">
        <v>20</v>
      </c>
      <c r="V40" s="379"/>
      <c r="W40" s="379"/>
      <c r="X40" s="1"/>
      <c r="Y40" s="117" t="s">
        <v>6</v>
      </c>
      <c r="Z40" s="117"/>
      <c r="AA40" s="117"/>
      <c r="AB40" s="117" t="s">
        <v>23</v>
      </c>
      <c r="AC40" s="117"/>
      <c r="AD40" s="117"/>
      <c r="AE40" s="26" t="s">
        <v>24</v>
      </c>
    </row>
    <row r="41" spans="2:34" ht="15.75" thickBot="1">
      <c r="B41" s="40"/>
      <c r="C41" s="60"/>
      <c r="D41" s="40"/>
      <c r="E41" s="40"/>
      <c r="F41" s="40"/>
      <c r="G41" s="40"/>
      <c r="H41" s="40"/>
      <c r="I41" s="40"/>
      <c r="J41" s="40"/>
      <c r="K41" s="40"/>
      <c r="L41" s="40"/>
      <c r="M41" s="40"/>
      <c r="N41" s="40"/>
      <c r="O41" s="40"/>
      <c r="T41" s="25"/>
      <c r="U41" s="117"/>
      <c r="V41" s="117"/>
      <c r="W41" s="117"/>
      <c r="X41" s="1"/>
      <c r="Y41" s="117"/>
      <c r="Z41" s="117"/>
      <c r="AA41" s="117"/>
      <c r="AB41" s="117"/>
      <c r="AC41" s="117"/>
      <c r="AD41" s="117"/>
      <c r="AE41" s="26"/>
    </row>
    <row r="42" spans="2:34">
      <c r="B42" s="40"/>
      <c r="C42" s="40"/>
      <c r="D42" s="420"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21"/>
      <c r="F42" s="421"/>
      <c r="G42" s="421"/>
      <c r="H42" s="421"/>
      <c r="I42" s="421"/>
      <c r="J42" s="421"/>
      <c r="K42" s="421"/>
      <c r="L42" s="421"/>
      <c r="M42" s="421"/>
      <c r="N42" s="421"/>
      <c r="O42" s="422"/>
      <c r="T42" s="378" t="s">
        <v>27</v>
      </c>
      <c r="U42" s="379"/>
      <c r="V42" s="379"/>
      <c r="W42" s="379"/>
      <c r="X42" s="1"/>
      <c r="Y42" s="7">
        <f>'Mon Entreprise'!I77</f>
        <v>0</v>
      </c>
      <c r="Z42" s="21"/>
      <c r="AA42" s="22"/>
      <c r="AB42" s="7">
        <f>IF('Mon Entreprise'!I77-'Mon Entreprise'!M77&lt;0,0,'Mon Entreprise'!I77-'Mon Entreprise'!M77)</f>
        <v>0</v>
      </c>
      <c r="AC42" s="1"/>
      <c r="AD42" s="14"/>
      <c r="AE42" s="27">
        <f>IFERROR(1-'Mon Entreprise'!M77/'Mon Entreprise'!I77,0)</f>
        <v>0</v>
      </c>
    </row>
    <row r="43" spans="2:34" ht="15" customHeight="1">
      <c r="D43" s="423"/>
      <c r="E43" s="390"/>
      <c r="F43" s="390"/>
      <c r="G43" s="390"/>
      <c r="H43" s="390"/>
      <c r="I43" s="390"/>
      <c r="J43" s="390"/>
      <c r="K43" s="390"/>
      <c r="L43" s="390"/>
      <c r="M43" s="390"/>
      <c r="N43" s="390"/>
      <c r="O43" s="424"/>
      <c r="T43" s="378" t="s">
        <v>25</v>
      </c>
      <c r="U43" s="379"/>
      <c r="V43" s="379"/>
      <c r="W43" s="379"/>
      <c r="X43" s="1"/>
      <c r="Y43" s="7">
        <f>'Mon Entreprise'!I63</f>
        <v>0</v>
      </c>
      <c r="Z43" s="21"/>
      <c r="AA43" s="22"/>
      <c r="AB43" s="7">
        <f>IF('Mon Entreprise'!I63-'Mon Entreprise'!M77&lt;0,0,'Mon Entreprise'!I63-'Mon Entreprise'!M77)</f>
        <v>0</v>
      </c>
      <c r="AC43" s="7"/>
      <c r="AD43" s="14"/>
      <c r="AE43" s="27">
        <f>IFERROR(1-'Mon Entreprise'!M77/'Mon Entreprise'!I63,0)</f>
        <v>0</v>
      </c>
    </row>
    <row r="44" spans="2:34" ht="15" customHeight="1">
      <c r="C44" s="104"/>
      <c r="D44" s="423"/>
      <c r="E44" s="390"/>
      <c r="F44" s="390"/>
      <c r="G44" s="390"/>
      <c r="H44" s="390"/>
      <c r="I44" s="390"/>
      <c r="J44" s="390"/>
      <c r="K44" s="390"/>
      <c r="L44" s="390"/>
      <c r="M44" s="390"/>
      <c r="N44" s="390"/>
      <c r="O44" s="424"/>
      <c r="Q44" s="99"/>
      <c r="R44" s="99"/>
      <c r="S44" s="99"/>
      <c r="T44" s="395" t="s">
        <v>22</v>
      </c>
      <c r="U44" s="396"/>
      <c r="V44" s="396"/>
      <c r="W44" s="396"/>
      <c r="X44" s="139"/>
      <c r="Y44" s="140" t="str">
        <f>IF('Mon Entreprise'!I112="","NC",'Mon Entreprise'!I112)</f>
        <v>NC</v>
      </c>
      <c r="Z44" s="141"/>
      <c r="AA44" s="142"/>
      <c r="AB44" s="143" t="str">
        <f>IFERROR(IF('Mon Entreprise'!I112-'Mon Entreprise'!M77&lt;0,0,'Mon Entreprise'!I112-'Mon Entreprise'!M77),"NC")</f>
        <v>NC</v>
      </c>
      <c r="AC44" s="144"/>
      <c r="AD44" s="145"/>
      <c r="AE44" s="146" t="str">
        <f>IFERROR(1-'Mon Entreprise'!M77/'Mon Entreprise'!I112,"NC")</f>
        <v>NC</v>
      </c>
      <c r="AF44" s="99"/>
    </row>
    <row r="45" spans="2:34" ht="15" customHeight="1">
      <c r="C45" s="104"/>
      <c r="D45" s="423"/>
      <c r="E45" s="390"/>
      <c r="F45" s="390"/>
      <c r="G45" s="390"/>
      <c r="H45" s="390"/>
      <c r="I45" s="390"/>
      <c r="J45" s="390"/>
      <c r="K45" s="390"/>
      <c r="L45" s="390"/>
      <c r="M45" s="390"/>
      <c r="N45" s="390"/>
      <c r="O45" s="424"/>
      <c r="T45" s="14"/>
      <c r="U45" s="1"/>
      <c r="V45" s="1"/>
      <c r="W45" s="1"/>
      <c r="X45" s="1"/>
      <c r="Y45" s="1"/>
      <c r="Z45" s="1"/>
      <c r="AA45" s="1"/>
      <c r="AB45" s="1"/>
      <c r="AC45" s="1"/>
      <c r="AD45" s="1"/>
      <c r="AE45" s="13"/>
    </row>
    <row r="46" spans="2:34" ht="15.75" customHeight="1" thickBot="1">
      <c r="C46" s="104"/>
      <c r="D46" s="425"/>
      <c r="E46" s="426"/>
      <c r="F46" s="426"/>
      <c r="G46" s="426"/>
      <c r="H46" s="426"/>
      <c r="I46" s="426"/>
      <c r="J46" s="426"/>
      <c r="K46" s="426"/>
      <c r="L46" s="426"/>
      <c r="M46" s="426"/>
      <c r="N46" s="426"/>
      <c r="O46" s="427"/>
      <c r="T46" s="440" t="s">
        <v>4</v>
      </c>
      <c r="U46" s="377"/>
      <c r="V46" s="377"/>
      <c r="W46" s="377"/>
      <c r="X46" s="377"/>
      <c r="Y46" s="377"/>
      <c r="Z46" s="124"/>
      <c r="AA46" s="14"/>
      <c r="AB46" s="19">
        <f>IFERROR(IF('Mon Entreprise'!K8&lt;Annexes!S17,IF(1-'Mon Entreprise'!M83/'Mon Entreprise'!I83&gt;=1-'Mon Entreprise'!M83/('Mon Entreprise'!I63*2),1-'Mon Entreprise'!M83/'Mon Entreprise'!I83,1-'Mon Entreprise'!M83/('Mon Entreprise'!I63*2)),1-'Mon Entreprise'!M83/'Mon Entreprise'!I126),0)</f>
        <v>0</v>
      </c>
      <c r="AC46" s="1"/>
      <c r="AD46" s="1"/>
      <c r="AE46" s="13"/>
    </row>
    <row r="47" spans="2:34" ht="18.75" hidden="1" customHeight="1">
      <c r="C47" s="80"/>
      <c r="D47" s="80"/>
      <c r="E47" s="80"/>
      <c r="F47" s="80"/>
      <c r="G47" s="80"/>
      <c r="H47" s="80"/>
      <c r="I47" s="80"/>
      <c r="J47" s="80"/>
      <c r="K47" s="80"/>
      <c r="L47" s="80"/>
      <c r="M47" s="80"/>
      <c r="N47" s="80"/>
      <c r="O47" s="80"/>
      <c r="T47" s="14"/>
      <c r="U47" s="377" t="s">
        <v>8</v>
      </c>
      <c r="V47" s="377"/>
      <c r="W47" s="377"/>
      <c r="X47" s="377"/>
      <c r="Y47" s="377"/>
      <c r="Z47" s="124"/>
      <c r="AA47" s="14"/>
      <c r="AB47" s="179" t="str">
        <f>IF((AND(Annexes!F5&gt;1,Annexes!F5&lt;=Annexes!H6)),"OUI","NON")</f>
        <v>NON</v>
      </c>
      <c r="AC47" s="1"/>
      <c r="AD47" s="1"/>
      <c r="AE47" s="13"/>
    </row>
    <row r="48" spans="2:34" ht="15" hidden="1" customHeight="1">
      <c r="T48" s="14"/>
      <c r="U48" s="442" t="s">
        <v>9</v>
      </c>
      <c r="V48" s="442"/>
      <c r="W48" s="442"/>
      <c r="X48" s="442"/>
      <c r="Y48" s="442"/>
      <c r="Z48" s="125"/>
      <c r="AA48" s="14"/>
      <c r="AB48" s="179" t="str">
        <f>IF((AND(Annexes!F7&gt;1,Annexes!F7&lt;=Annexes!H8)),"OUI","NON")</f>
        <v>NON</v>
      </c>
      <c r="AC48" s="1"/>
      <c r="AD48" s="1"/>
      <c r="AE48" s="13"/>
    </row>
    <row r="49" spans="3:31" ht="15" hidden="1" customHeight="1">
      <c r="C49" s="428" t="s">
        <v>72</v>
      </c>
      <c r="D49" s="428"/>
      <c r="E49" s="428"/>
      <c r="F49" s="428"/>
      <c r="G49" s="428"/>
      <c r="H49" s="428"/>
      <c r="I49" s="428"/>
      <c r="J49" s="428"/>
      <c r="K49" s="428"/>
      <c r="L49" s="428"/>
      <c r="M49" s="428"/>
      <c r="N49" s="428"/>
      <c r="O49" s="428"/>
      <c r="T49" s="14"/>
      <c r="U49" s="377" t="s">
        <v>73</v>
      </c>
      <c r="V49" s="377"/>
      <c r="W49" s="377"/>
      <c r="X49" s="377"/>
      <c r="Y49" s="377"/>
      <c r="Z49" s="124"/>
      <c r="AA49" s="14"/>
      <c r="AB49" s="179">
        <f>IF(AB47="OUI",Annexes!S6,IF(AND(AB48="OUI",AB46&gt;=0.8),Annexes!S6,Annexes!S5))</f>
        <v>1500</v>
      </c>
      <c r="AC49" s="1"/>
      <c r="AD49" s="1"/>
      <c r="AE49" s="13"/>
    </row>
    <row r="50" spans="3:31" ht="15" hidden="1" customHeight="1">
      <c r="C50" s="428"/>
      <c r="D50" s="428"/>
      <c r="E50" s="428"/>
      <c r="F50" s="428"/>
      <c r="G50" s="428"/>
      <c r="H50" s="428"/>
      <c r="I50" s="428"/>
      <c r="J50" s="428"/>
      <c r="K50" s="428"/>
      <c r="L50" s="428"/>
      <c r="M50" s="428"/>
      <c r="N50" s="428"/>
      <c r="O50" s="428"/>
      <c r="T50" s="14"/>
      <c r="U50" s="377" t="s">
        <v>74</v>
      </c>
      <c r="V50" s="377"/>
      <c r="W50" s="377"/>
      <c r="X50" s="377"/>
      <c r="Y50" s="377"/>
      <c r="Z50" s="124"/>
      <c r="AA50" s="14"/>
      <c r="AB50" s="179" t="str">
        <f>IF('Mon Entreprise'!K8&lt;=Annexes!U24,"Oui","Non")</f>
        <v>Oui</v>
      </c>
      <c r="AC50" s="1"/>
      <c r="AD50" s="1"/>
      <c r="AE50" s="13"/>
    </row>
    <row r="51" spans="3:31" ht="15" hidden="1" customHeight="1">
      <c r="C51" s="58"/>
      <c r="D51" s="121" t="str">
        <f>IF(Annexes!M9=FALSE,"-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377" t="s">
        <v>87</v>
      </c>
      <c r="V51" s="377"/>
      <c r="W51" s="377"/>
      <c r="X51" s="377"/>
      <c r="Y51" s="377"/>
      <c r="Z51" s="124"/>
      <c r="AA51" s="14"/>
      <c r="AB51" s="179">
        <f>IF('Mon Entreprise'!K8&gt;=Annexes!S20,IF(AB42&gt;=AB44,AB42,AB44),IF(AB42&gt;=AB43,AB42,AB43))</f>
        <v>0</v>
      </c>
      <c r="AC51" s="1"/>
      <c r="AD51" s="1"/>
      <c r="AE51" s="13"/>
    </row>
    <row r="52" spans="3:31" ht="15" hidden="1" customHeight="1">
      <c r="C52" s="58"/>
      <c r="D52" s="429"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429"/>
      <c r="F52" s="429"/>
      <c r="G52" s="429"/>
      <c r="H52" s="429"/>
      <c r="I52" s="429"/>
      <c r="J52" s="429"/>
      <c r="K52" s="429"/>
      <c r="L52" s="429"/>
      <c r="M52" s="429"/>
      <c r="N52" s="429"/>
      <c r="O52" s="429"/>
      <c r="T52" s="14"/>
      <c r="U52" s="377" t="s">
        <v>88</v>
      </c>
      <c r="V52" s="377"/>
      <c r="W52" s="377"/>
      <c r="X52" s="377"/>
      <c r="Y52" s="377"/>
      <c r="Z52" s="124"/>
      <c r="AA52" s="14"/>
      <c r="AB52" s="19">
        <f>IF('Mon Entreprise'!K8&gt;=Annexes!S20,IF(AB42&gt;=AB44,AE42,AE44),IF(AB42&gt;=AB43,AE42,AE43))</f>
        <v>0</v>
      </c>
      <c r="AC52" s="1"/>
      <c r="AD52" s="1"/>
      <c r="AE52" s="13"/>
    </row>
    <row r="53" spans="3:31" ht="15" hidden="1" customHeight="1">
      <c r="C53" s="58"/>
      <c r="D53" s="429"/>
      <c r="E53" s="429"/>
      <c r="F53" s="429"/>
      <c r="G53" s="429"/>
      <c r="H53" s="429"/>
      <c r="I53" s="429"/>
      <c r="J53" s="429"/>
      <c r="K53" s="429"/>
      <c r="L53" s="429"/>
      <c r="M53" s="429"/>
      <c r="N53" s="429"/>
      <c r="O53" s="429"/>
      <c r="T53" s="14"/>
      <c r="U53" s="377" t="s">
        <v>75</v>
      </c>
      <c r="V53" s="377"/>
      <c r="W53" s="377"/>
      <c r="X53" s="377"/>
      <c r="Y53" s="377"/>
      <c r="Z53" s="124"/>
      <c r="AA53" s="14"/>
      <c r="AB53" s="179">
        <f>IF(AB52&gt;=0.7,IF(AB47="OUI",Annexes!S6,IF(AND(AB48="OUI",AB46&gt;=0.8),Annexes!S6,0)),IF(AB52&gt;=0.5,IF(AB47="OUI",Annexes!S5,IF(AND(AB48="OUI",AB46&gt;=0.8),Annexes!S5,0)),0))</f>
        <v>0</v>
      </c>
      <c r="AC53" s="1"/>
      <c r="AD53" s="1"/>
      <c r="AE53" s="13"/>
    </row>
    <row r="54" spans="3:31" ht="15" hidden="1" customHeight="1">
      <c r="C54" s="58"/>
      <c r="D54" s="121" t="str">
        <f>IFERROR(IF('Mon Entreprise'!K8&gt;=Annexes!S20,IF(AB42&gt;=AB44,"-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377" t="s">
        <v>76</v>
      </c>
      <c r="V54" s="377"/>
      <c r="W54" s="377"/>
      <c r="X54" s="377"/>
      <c r="Y54" s="377"/>
      <c r="Z54" s="124"/>
      <c r="AA54" s="14"/>
      <c r="AB54" s="179">
        <f>IF(AB52&gt;=0.7,IF(AB47="OUI",Annexes!T6,IF(AND(AB48="OUI",AB46&gt;=0.8),Annexes!T6,1)),1)</f>
        <v>1</v>
      </c>
      <c r="AC54" s="1"/>
      <c r="AD54" s="1"/>
      <c r="AE54" s="13"/>
    </row>
    <row r="55" spans="3:31" ht="15" hidden="1" customHeight="1" thickBot="1">
      <c r="C55" s="58"/>
      <c r="D55" s="58"/>
      <c r="E55" s="58"/>
      <c r="F55" s="58"/>
      <c r="G55" s="58"/>
      <c r="H55" s="58"/>
      <c r="I55" s="58"/>
      <c r="J55" s="58"/>
      <c r="K55" s="58"/>
      <c r="L55" s="58"/>
      <c r="M55" s="58"/>
      <c r="N55" s="58"/>
      <c r="O55" s="58"/>
      <c r="T55" s="14"/>
      <c r="U55" s="379" t="s">
        <v>83</v>
      </c>
      <c r="V55" s="379"/>
      <c r="W55" s="379"/>
      <c r="X55" s="379"/>
      <c r="Y55" s="379"/>
      <c r="Z55" s="1"/>
      <c r="AA55" s="14"/>
      <c r="AB55" s="179">
        <f>IF('Mon Entreprise'!K8&gt;=Annexes!S20,IF(AB42&gt;=AB44,Y42,Y44),IF(AB42&gt;=AB43,Y42,Y43))</f>
        <v>0</v>
      </c>
      <c r="AC55" s="1"/>
      <c r="AD55" s="1"/>
      <c r="AE55" s="13"/>
    </row>
    <row r="56" spans="3:31" ht="15.75" hidden="1" customHeight="1">
      <c r="D56" s="400" t="str">
        <f>IFERROR(IF(AB50="Non","Vous avez débuté votre activité après le 30 Septembre 2020, vous ne pouvez donc pas bénéficier de cette aide",IF(Annexes!M9=FALSE,"L'entreprise ne semble pas avoir été impactée par le couvre-Feu de 21H à 6H",IF(AB52&gt;=0.5,IF(AB49=Annexes!S6,IF(AB51&gt;=Annexes!S6,"Dans votre cas, l'aide est Plafonnée, à "&amp;Annexes!S6&amp;" € pour le mois d'octobre",IF(AB51=0,"Vous n'avez pas indiqué de CA de référence","Vous pouvez bénéficier, au titre de cette aide, d'un montant de "&amp;ROUND(AB51,0)&amp;" € pour le mois d'octobre")),IF(AB49=Annexes!S5,IF(AB51&gt;Annexes!S5,"Dans votre cas, l'aide est Plafonnée, à "&amp;Annexes!S5&amp;"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01"/>
      <c r="F56" s="401"/>
      <c r="G56" s="401"/>
      <c r="H56" s="401"/>
      <c r="I56" s="401"/>
      <c r="J56" s="401"/>
      <c r="K56" s="401"/>
      <c r="L56" s="401"/>
      <c r="M56" s="401"/>
      <c r="N56" s="401"/>
      <c r="O56" s="402"/>
      <c r="T56" s="14"/>
      <c r="U56" s="379" t="s">
        <v>89</v>
      </c>
      <c r="V56" s="379"/>
      <c r="W56" s="379"/>
      <c r="X56" s="379"/>
      <c r="Y56" s="379"/>
      <c r="Z56" s="1"/>
      <c r="AA56" s="14"/>
      <c r="AB56" s="179">
        <f>IFERROR(IF(AB51&gt;AB55*AB54,IF(AND(AB51&gt;1500,1500&gt;AB55*AB54),1500,IF(1500&gt;AB51,AB51,AB55*AB54)),AB51),0)</f>
        <v>0</v>
      </c>
      <c r="AC56" s="1"/>
      <c r="AD56" s="1"/>
      <c r="AE56" s="13"/>
    </row>
    <row r="57" spans="3:31" ht="15" hidden="1" customHeight="1">
      <c r="D57" s="403"/>
      <c r="E57" s="404"/>
      <c r="F57" s="404"/>
      <c r="G57" s="404"/>
      <c r="H57" s="404"/>
      <c r="I57" s="404"/>
      <c r="J57" s="404"/>
      <c r="K57" s="404"/>
      <c r="L57" s="404"/>
      <c r="M57" s="404"/>
      <c r="N57" s="404"/>
      <c r="O57" s="405"/>
      <c r="T57" s="14"/>
      <c r="U57" s="1"/>
      <c r="V57" s="1"/>
      <c r="W57" s="1"/>
      <c r="X57" s="1"/>
      <c r="Y57" s="1"/>
      <c r="Z57" s="1"/>
      <c r="AA57" s="1"/>
      <c r="AB57" s="1"/>
      <c r="AC57" s="1"/>
      <c r="AD57" s="1"/>
      <c r="AE57" s="13"/>
    </row>
    <row r="58" spans="3:31" ht="15" hidden="1" customHeight="1">
      <c r="D58" s="403"/>
      <c r="E58" s="404"/>
      <c r="F58" s="404"/>
      <c r="G58" s="404"/>
      <c r="H58" s="404"/>
      <c r="I58" s="404"/>
      <c r="J58" s="404"/>
      <c r="K58" s="404"/>
      <c r="L58" s="404"/>
      <c r="M58" s="404"/>
      <c r="N58" s="404"/>
      <c r="O58" s="405"/>
      <c r="T58" s="14"/>
      <c r="U58" s="1"/>
      <c r="V58" s="1"/>
      <c r="W58" s="1"/>
      <c r="X58" s="1"/>
      <c r="Y58" s="1"/>
      <c r="Z58" s="1"/>
      <c r="AA58" s="1"/>
      <c r="AB58" s="1"/>
      <c r="AC58" s="1"/>
      <c r="AD58" s="1"/>
      <c r="AE58" s="13"/>
    </row>
    <row r="59" spans="3:31" ht="15" hidden="1" customHeight="1" thickBot="1">
      <c r="D59" s="406"/>
      <c r="E59" s="407"/>
      <c r="F59" s="407"/>
      <c r="G59" s="407"/>
      <c r="H59" s="407"/>
      <c r="I59" s="407"/>
      <c r="J59" s="407"/>
      <c r="K59" s="407"/>
      <c r="L59" s="407"/>
      <c r="M59" s="407"/>
      <c r="N59" s="407"/>
      <c r="O59" s="408"/>
      <c r="T59" s="14"/>
      <c r="U59" s="1"/>
      <c r="V59" s="1"/>
      <c r="W59" s="1"/>
      <c r="X59" s="1"/>
      <c r="Y59" s="1"/>
      <c r="Z59" s="1"/>
      <c r="AA59" s="1"/>
      <c r="AB59" s="1"/>
      <c r="AC59" s="1"/>
      <c r="AD59" s="1"/>
      <c r="AE59" s="13"/>
    </row>
    <row r="60" spans="3:31" ht="15.75" hidden="1" customHeight="1">
      <c r="T60" s="14"/>
      <c r="U60" s="379" t="s">
        <v>77</v>
      </c>
      <c r="V60" s="379"/>
      <c r="W60" s="379"/>
      <c r="X60" s="379"/>
      <c r="Y60" s="379"/>
      <c r="Z60" s="1"/>
      <c r="AA60" s="14"/>
      <c r="AB60" s="1">
        <f>IFERROR(IF(AB50="Non",0,IF(Annexes!M9=FALSE,0,IF(AB52&gt;=0.5,IF(AB49=Annexes!S6,IF(AB51&gt;=Annexes!S6,Annexes!S6,IF(AB51=0,0,ROUND(AB51,0))),IF(AB49=Annexes!S5,IF(AB51&gt;Annexes!S5,Annexes!S5,IF(AB51=0,0,ROUND(AB51,0))),)),0))),0)</f>
        <v>0</v>
      </c>
      <c r="AC60" s="1"/>
      <c r="AD60" s="1"/>
      <c r="AE60" s="13"/>
    </row>
    <row r="61" spans="3:31" ht="15" hidden="1" customHeight="1">
      <c r="C61" s="78"/>
      <c r="D61" s="78"/>
      <c r="E61" s="78"/>
      <c r="F61" s="78"/>
      <c r="G61" s="78"/>
      <c r="H61" s="78"/>
      <c r="I61" s="78"/>
      <c r="J61" s="78"/>
      <c r="K61" s="78"/>
      <c r="L61" s="78"/>
      <c r="M61" s="78"/>
      <c r="N61" s="78"/>
      <c r="O61" s="78"/>
      <c r="T61" s="14"/>
      <c r="U61" s="379" t="s">
        <v>78</v>
      </c>
      <c r="V61" s="379"/>
      <c r="W61" s="379"/>
      <c r="X61" s="379"/>
      <c r="Y61" s="379"/>
      <c r="Z61" s="1"/>
      <c r="AA61" s="14"/>
      <c r="AB61" s="1">
        <f>IFERROR(IF(AB50="Non",0,IF(AB52&gt;=0.7,IF(AB47="OUI",IF(AB56&gt;=Annexes!S6,Annexes!S6,ROUND(AB56,0)),IF(AND(AB48="OUI",AB46&gt;=0.8),IF(AB56&gt;=Annexes!S6,Annexes!S6,ROUND(AB56,0)),0)),IF(AB52&gt;=0.5,IF(AB47="OUI",IF(AB51&gt;=Annexes!S5,Annexes!S5,ROUND(AB51,0)),IF(AND(AB48="OUI",AB46&gt;=0.8),IF(AB51&gt;=Annexes!S5,Annexes!S5,ROUND(AB51,0)),0)),0))),0)</f>
        <v>0</v>
      </c>
      <c r="AC61" s="1"/>
      <c r="AD61" s="1"/>
      <c r="AE61" s="13"/>
    </row>
    <row r="62" spans="3:31" ht="15" hidden="1" customHeight="1">
      <c r="T62" s="14"/>
      <c r="U62" s="379" t="s">
        <v>79</v>
      </c>
      <c r="V62" s="379"/>
      <c r="W62" s="379"/>
      <c r="X62" s="379"/>
      <c r="Y62" s="379"/>
      <c r="Z62" s="1"/>
      <c r="AA62" s="14"/>
      <c r="AB62" s="1">
        <f>IFERROR(IF(AB86="NON",0,IF(AB88="Non",0,IF(AB89&gt;Annexes!S7*(Annexes!Q5-1),IF(Annexes!S7*(Annexes!Q5-1)&gt;10000,10000,Annexes!S7*(Annexes!Q5-1)),ROUND(IF(AB89&gt;10000,10000,AB89),0)))),0)</f>
        <v>0</v>
      </c>
      <c r="AC62" s="1"/>
      <c r="AD62" s="1"/>
      <c r="AE62" s="13"/>
    </row>
    <row r="63" spans="3:31" ht="15" hidden="1" customHeight="1">
      <c r="C63" s="415" t="s">
        <v>80</v>
      </c>
      <c r="D63" s="415"/>
      <c r="E63" s="415"/>
      <c r="F63" s="415"/>
      <c r="G63" s="415"/>
      <c r="H63" s="415"/>
      <c r="I63" s="415"/>
      <c r="J63" s="415"/>
      <c r="K63" s="415"/>
      <c r="L63" s="415"/>
      <c r="M63" s="415"/>
      <c r="N63" s="415"/>
      <c r="O63" s="415"/>
      <c r="P63" s="40"/>
      <c r="T63" s="14"/>
      <c r="U63" s="1"/>
      <c r="V63" s="1"/>
      <c r="W63" s="1"/>
      <c r="X63" s="1"/>
      <c r="Y63" s="1"/>
      <c r="Z63" s="1"/>
      <c r="AA63" s="1"/>
      <c r="AB63" s="1"/>
      <c r="AC63" s="1"/>
      <c r="AD63" s="1"/>
      <c r="AE63" s="13"/>
    </row>
    <row r="64" spans="3:31" ht="15" hidden="1" customHeight="1">
      <c r="C64" s="415"/>
      <c r="D64" s="415"/>
      <c r="E64" s="415"/>
      <c r="F64" s="415"/>
      <c r="G64" s="415"/>
      <c r="H64" s="415"/>
      <c r="I64" s="415"/>
      <c r="J64" s="415"/>
      <c r="K64" s="415"/>
      <c r="L64" s="415"/>
      <c r="M64" s="415"/>
      <c r="N64" s="415"/>
      <c r="O64" s="415"/>
      <c r="P64" s="40"/>
      <c r="T64" s="14"/>
      <c r="U64" s="1"/>
      <c r="V64" s="1"/>
      <c r="W64" s="1"/>
      <c r="X64" s="1"/>
      <c r="Y64" s="1"/>
      <c r="Z64" s="1"/>
      <c r="AA64" s="1"/>
      <c r="AB64" s="1"/>
      <c r="AC64" s="1"/>
      <c r="AD64" s="1"/>
      <c r="AE64" s="13"/>
    </row>
    <row r="65" spans="2:31" ht="15" hidden="1" customHeight="1">
      <c r="C65" s="60"/>
      <c r="D65" s="441"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5" s="441"/>
      <c r="F65" s="441"/>
      <c r="G65" s="441"/>
      <c r="H65" s="441"/>
      <c r="I65" s="441"/>
      <c r="J65" s="441"/>
      <c r="K65" s="441"/>
      <c r="L65" s="441"/>
      <c r="M65" s="441"/>
      <c r="N65" s="441"/>
      <c r="O65" s="441"/>
      <c r="P65" s="40"/>
      <c r="T65" s="14"/>
      <c r="U65" s="1"/>
      <c r="V65" s="1"/>
      <c r="W65" s="1"/>
      <c r="X65" s="1"/>
      <c r="Y65" s="1"/>
      <c r="Z65" s="1"/>
      <c r="AA65" s="1"/>
      <c r="AB65" s="1"/>
      <c r="AC65" s="1"/>
      <c r="AD65" s="1"/>
      <c r="AE65" s="13"/>
    </row>
    <row r="66" spans="2:31" ht="15" hidden="1" customHeight="1">
      <c r="C66" s="60"/>
      <c r="D66" s="441"/>
      <c r="E66" s="441"/>
      <c r="F66" s="441"/>
      <c r="G66" s="441"/>
      <c r="H66" s="441"/>
      <c r="I66" s="441"/>
      <c r="J66" s="441"/>
      <c r="K66" s="441"/>
      <c r="L66" s="441"/>
      <c r="M66" s="441"/>
      <c r="N66" s="441"/>
      <c r="O66" s="441"/>
      <c r="P66" s="40"/>
      <c r="T66" s="119"/>
      <c r="U66" s="1"/>
      <c r="V66" s="1"/>
      <c r="W66" s="1"/>
      <c r="X66" s="1"/>
      <c r="Y66" s="1"/>
      <c r="Z66" s="1"/>
      <c r="AA66" s="1"/>
      <c r="AB66" s="1"/>
      <c r="AC66" s="1"/>
      <c r="AD66" s="1"/>
      <c r="AE66" s="13"/>
    </row>
    <row r="67" spans="2:31" ht="15" hidden="1" customHeight="1">
      <c r="C67" s="60"/>
      <c r="D67" s="60" t="str">
        <f>IFERROR(IF('Mon Entreprise'!K8&gt;=Annexes!S20,IF(AB42&gt;=AB44,"-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7" s="60"/>
      <c r="F67" s="60"/>
      <c r="G67" s="60"/>
      <c r="H67" s="122"/>
      <c r="I67" s="60"/>
      <c r="J67" s="60"/>
      <c r="K67" s="60"/>
      <c r="M67" s="60"/>
      <c r="N67" s="60"/>
      <c r="O67" s="60"/>
      <c r="P67" s="40"/>
      <c r="T67" s="29"/>
      <c r="U67" s="1"/>
      <c r="V67" s="1"/>
      <c r="W67" s="1"/>
      <c r="X67" s="1"/>
      <c r="Y67" s="1"/>
      <c r="Z67" s="1"/>
      <c r="AA67" s="1"/>
      <c r="AB67" s="1"/>
      <c r="AC67" s="1"/>
      <c r="AD67" s="1"/>
      <c r="AE67" s="13"/>
    </row>
    <row r="68" spans="2:31" ht="15" hidden="1" customHeight="1">
      <c r="C68" s="60"/>
      <c r="D68"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8" s="60"/>
      <c r="F68" s="60"/>
      <c r="G68" s="60"/>
      <c r="H68" s="60"/>
      <c r="I68" s="60"/>
      <c r="J68" s="60"/>
      <c r="K68" s="60"/>
      <c r="L68" s="60"/>
      <c r="M68" s="60"/>
      <c r="N68" s="60"/>
      <c r="O68" s="60"/>
      <c r="P68" s="40"/>
      <c r="T68" s="14"/>
      <c r="U68" s="1"/>
      <c r="V68" s="1"/>
      <c r="W68" s="1"/>
      <c r="X68" s="1"/>
      <c r="Y68" s="1"/>
      <c r="Z68" s="1"/>
      <c r="AA68" s="1"/>
      <c r="AB68" s="1"/>
      <c r="AC68" s="1"/>
      <c r="AD68" s="1"/>
      <c r="AE68" s="13"/>
    </row>
    <row r="69" spans="2:31" ht="15" hidden="1" customHeight="1" thickBot="1">
      <c r="T69" s="30"/>
      <c r="U69" s="1"/>
      <c r="V69" s="1"/>
      <c r="W69" s="1"/>
      <c r="X69" s="1"/>
      <c r="Y69" s="1"/>
      <c r="Z69" s="1"/>
      <c r="AA69" s="1"/>
      <c r="AB69" s="1"/>
      <c r="AC69" s="1"/>
      <c r="AD69" s="1"/>
      <c r="AE69" s="13"/>
    </row>
    <row r="70" spans="2:31" ht="15" hidden="1" customHeight="1">
      <c r="D70" s="400" t="str">
        <f>IFERROR(IF(AB50="Non","Vous avez débuté votre activité après le 30 Septembre 2020, vous ne pouvez donc pas bénéficier de cette aide",IF(AB52&gt;=0.7,IF(AB47="OUI",IF(AB56&gt;=Annexes!S6,"Dans votre cas, l'aide est Plafonnée, à "&amp;Annexes!S6&amp;" € pour le mois d'octobre","Vous pouvez bénéficier, au titre de cette aide, d'un montant de "&amp;ROUND(AB56,0)&amp;" € pour le mois d'octobre"),IF(AND(AB48="OUI",AB46&gt;=0.8),IF(AB56&gt;=Annexes!S6,"Dans votre cas, l'aide est Plafonnée, à "&amp;Annexes!S6&amp;"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aide")),IF(AB52&gt;=0.5,IF(AB47="OUI",IF(AB51&gt;=Annexes!S5,"Dans votre cas, l'aide est Plafonnée, à "&amp;Annexes!S5&amp;" € pour le mois d'octobre","Vous pouvez bénéficier, au titre de cette aide, d'un montant de "&amp;ROUND(AB51,0)&amp;" € pour le mois d'octobre"),IF(AND(AB48="OUI",AB46&gt;=0.8),IF(AB51&gt;=Annexes!S5,"Dans votre cas, l'aide est Plafonnée, à "&amp;Annexes!S5&amp;"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70" s="401"/>
      <c r="F70" s="401"/>
      <c r="G70" s="401"/>
      <c r="H70" s="401"/>
      <c r="I70" s="401"/>
      <c r="J70" s="401"/>
      <c r="K70" s="401"/>
      <c r="L70" s="401"/>
      <c r="M70" s="401"/>
      <c r="N70" s="401"/>
      <c r="O70" s="402"/>
      <c r="T70" s="20"/>
      <c r="U70" s="38"/>
      <c r="V70" s="1"/>
      <c r="W70" s="1"/>
      <c r="X70" s="1"/>
      <c r="Y70" s="1"/>
      <c r="Z70" s="1"/>
      <c r="AA70" s="1"/>
      <c r="AB70" s="1"/>
      <c r="AC70" s="1"/>
      <c r="AD70" s="1"/>
      <c r="AE70" s="13"/>
    </row>
    <row r="71" spans="2:31" ht="15.75" hidden="1" customHeight="1">
      <c r="D71" s="403"/>
      <c r="E71" s="404"/>
      <c r="F71" s="404"/>
      <c r="G71" s="404"/>
      <c r="H71" s="404"/>
      <c r="I71" s="404"/>
      <c r="J71" s="404"/>
      <c r="K71" s="404"/>
      <c r="L71" s="404"/>
      <c r="M71" s="404"/>
      <c r="N71" s="404"/>
      <c r="O71" s="405"/>
      <c r="T71" s="14"/>
      <c r="U71" s="1"/>
      <c r="V71" s="1"/>
      <c r="W71" s="1"/>
      <c r="X71" s="1"/>
      <c r="Y71" s="1"/>
      <c r="Z71" s="1"/>
      <c r="AA71" s="1"/>
      <c r="AB71" s="1"/>
      <c r="AC71" s="1"/>
      <c r="AD71" s="1"/>
      <c r="AE71" s="13"/>
    </row>
    <row r="72" spans="2:31" ht="15.75" hidden="1" customHeight="1">
      <c r="D72" s="403"/>
      <c r="E72" s="404"/>
      <c r="F72" s="404"/>
      <c r="G72" s="404"/>
      <c r="H72" s="404"/>
      <c r="I72" s="404"/>
      <c r="J72" s="404"/>
      <c r="K72" s="404"/>
      <c r="L72" s="404"/>
      <c r="M72" s="404"/>
      <c r="N72" s="404"/>
      <c r="O72" s="405"/>
      <c r="T72" s="14"/>
      <c r="U72" s="1"/>
      <c r="V72" s="1"/>
      <c r="W72" s="1"/>
      <c r="X72" s="1"/>
      <c r="Y72" s="1"/>
      <c r="Z72" s="1"/>
      <c r="AA72" s="1"/>
      <c r="AB72" s="1"/>
      <c r="AC72" s="1"/>
      <c r="AD72" s="1"/>
      <c r="AE72" s="13"/>
    </row>
    <row r="73" spans="2:31" ht="15" hidden="1" customHeight="1" thickBot="1">
      <c r="D73" s="406"/>
      <c r="E73" s="407"/>
      <c r="F73" s="407"/>
      <c r="G73" s="407"/>
      <c r="H73" s="407"/>
      <c r="I73" s="407"/>
      <c r="J73" s="407"/>
      <c r="K73" s="407"/>
      <c r="L73" s="407"/>
      <c r="M73" s="407"/>
      <c r="N73" s="407"/>
      <c r="O73" s="408"/>
      <c r="T73" s="14"/>
      <c r="U73" s="1"/>
      <c r="V73" s="1"/>
      <c r="W73" s="1"/>
      <c r="X73" s="1"/>
      <c r="Y73" s="1"/>
      <c r="Z73" s="1"/>
      <c r="AA73" s="1"/>
      <c r="AB73" s="1"/>
      <c r="AC73" s="1"/>
      <c r="AD73" s="1"/>
      <c r="AE73" s="13"/>
    </row>
    <row r="74" spans="2:31" ht="15" hidden="1" customHeight="1">
      <c r="C74" s="1"/>
      <c r="D74" s="1"/>
      <c r="E74" s="1"/>
      <c r="F74" s="1"/>
      <c r="G74" s="1"/>
      <c r="H74" s="1"/>
      <c r="I74" s="1"/>
      <c r="J74" s="1"/>
      <c r="K74" s="1"/>
      <c r="L74" s="1"/>
      <c r="M74" s="1"/>
      <c r="N74" s="1"/>
      <c r="O74" s="1"/>
      <c r="T74" s="14"/>
      <c r="U74" s="1"/>
      <c r="V74" s="1"/>
      <c r="W74" s="1"/>
      <c r="X74" s="1"/>
      <c r="Y74" s="1"/>
      <c r="Z74" s="1"/>
      <c r="AA74" s="1"/>
      <c r="AB74" s="1"/>
      <c r="AC74" s="1"/>
      <c r="AD74" s="1"/>
      <c r="AE74" s="13"/>
    </row>
    <row r="75" spans="2:31" ht="15" hidden="1" customHeight="1">
      <c r="C75" s="127"/>
      <c r="D75" s="127"/>
      <c r="E75" s="10"/>
      <c r="F75" s="10"/>
      <c r="G75" s="10"/>
      <c r="H75" s="10"/>
      <c r="I75" s="10"/>
      <c r="J75" s="10"/>
      <c r="K75" s="10"/>
      <c r="L75" s="10"/>
      <c r="M75" s="128"/>
      <c r="N75" s="10"/>
      <c r="O75" s="10"/>
      <c r="T75" s="14"/>
      <c r="U75" s="1"/>
      <c r="V75" s="1"/>
      <c r="W75" s="1"/>
      <c r="X75" s="1"/>
      <c r="Y75" s="1"/>
      <c r="Z75" s="1"/>
      <c r="AA75" s="1"/>
      <c r="AB75" s="1"/>
      <c r="AC75" s="1"/>
      <c r="AD75" s="1"/>
      <c r="AE75" s="13"/>
    </row>
    <row r="76" spans="2:31" ht="15.75" hidden="1" customHeight="1">
      <c r="B76" s="5"/>
      <c r="C76" s="5"/>
      <c r="D76" s="5"/>
      <c r="P76" s="1"/>
      <c r="T76" s="14"/>
      <c r="U76" s="1"/>
      <c r="V76" s="1"/>
      <c r="W76" s="1"/>
      <c r="X76" s="1"/>
      <c r="Y76" s="1"/>
      <c r="Z76" s="1"/>
      <c r="AA76" s="1"/>
      <c r="AB76" s="1"/>
      <c r="AC76" s="1"/>
      <c r="AD76" s="1"/>
      <c r="AE76" s="13"/>
    </row>
    <row r="77" spans="2:31" ht="15" hidden="1" customHeight="1">
      <c r="B77" s="58"/>
      <c r="C77" s="121" t="s">
        <v>63</v>
      </c>
      <c r="D77" s="121"/>
      <c r="E77" s="60"/>
      <c r="F77" s="60"/>
      <c r="G77" s="60"/>
      <c r="H77" s="60"/>
      <c r="I77" s="60"/>
      <c r="J77" s="60"/>
      <c r="K77" s="60"/>
      <c r="L77" s="116"/>
      <c r="M77" s="60"/>
      <c r="N77" s="60"/>
      <c r="O77" s="60"/>
      <c r="P77" s="44"/>
      <c r="T77" s="14"/>
      <c r="U77" s="1"/>
      <c r="V77" s="1"/>
      <c r="W77" s="1"/>
      <c r="X77" s="1"/>
      <c r="Y77" s="1"/>
      <c r="Z77" s="1"/>
      <c r="AA77" s="1"/>
      <c r="AB77" s="1"/>
      <c r="AC77" s="1"/>
      <c r="AD77" s="1"/>
      <c r="AE77" s="13"/>
    </row>
    <row r="78" spans="2:31" ht="15" hidden="1" customHeight="1">
      <c r="B78" s="40"/>
      <c r="C78" s="60"/>
      <c r="D78" s="60" t="str">
        <f>"- Nombre de jours de fermetures au mois d'octobre : "&amp;IF(Annexes!M5=FALSE,0,IF(Annexes!Q5=1,0,Annexes!Q5-1))&amp;" jour(s)"</f>
        <v>- Nombre de jours de fermetures au mois d'octobre : 0 jour(s)</v>
      </c>
      <c r="E78" s="60"/>
      <c r="F78" s="60"/>
      <c r="G78" s="60"/>
      <c r="H78" s="60"/>
      <c r="I78" s="60"/>
      <c r="J78" s="60"/>
      <c r="K78" s="60"/>
      <c r="L78" s="60"/>
      <c r="M78" s="60"/>
      <c r="N78" s="60"/>
      <c r="O78" s="60"/>
      <c r="P78" s="44"/>
      <c r="Q78" s="44"/>
      <c r="R78" s="1"/>
      <c r="S78" s="1"/>
      <c r="T78" s="14"/>
      <c r="U78" s="1"/>
      <c r="V78" s="1"/>
      <c r="W78" s="1"/>
      <c r="X78" s="1"/>
      <c r="Y78" s="1"/>
      <c r="Z78" s="1"/>
      <c r="AA78" s="1"/>
      <c r="AB78" s="1"/>
      <c r="AC78" s="1"/>
      <c r="AD78" s="1"/>
      <c r="AE78" s="13"/>
    </row>
    <row r="79" spans="2:31" ht="15" hidden="1" customHeight="1">
      <c r="B79" s="58"/>
      <c r="C79" s="121"/>
      <c r="D79" s="121"/>
      <c r="E79" s="60" t="str">
        <f>IF(Annexes!M5=FALSE,"Vous n'avez pas coché la case Fermeture administrative de Septembre à Octobre",IF(Annexes!Q5=1,"Vous n'avez pas de jour de fermeture en Octobre",""))</f>
        <v>Vous n'avez pas coché la case Fermeture administrative de Septembre à Octobre</v>
      </c>
      <c r="F79" s="60"/>
      <c r="G79" s="60"/>
      <c r="H79" s="60"/>
      <c r="I79" s="60"/>
      <c r="J79" s="60"/>
      <c r="K79" s="60"/>
      <c r="L79" s="60"/>
      <c r="M79" s="60"/>
      <c r="N79" s="60"/>
      <c r="O79" s="60"/>
      <c r="P79" s="61"/>
      <c r="Q79" s="44"/>
      <c r="R79" s="44"/>
      <c r="S79" s="1"/>
      <c r="T79" s="189"/>
      <c r="U79" s="379" t="s">
        <v>20</v>
      </c>
      <c r="V79" s="379"/>
      <c r="W79" s="379"/>
      <c r="X79" s="1"/>
      <c r="Y79" s="117" t="s">
        <v>6</v>
      </c>
      <c r="Z79" s="117"/>
      <c r="AA79" s="117"/>
      <c r="AB79" s="117" t="s">
        <v>23</v>
      </c>
      <c r="AC79" s="117"/>
      <c r="AD79" s="117"/>
      <c r="AE79" s="26" t="s">
        <v>24</v>
      </c>
    </row>
    <row r="80" spans="2:31" ht="15" hidden="1" customHeight="1">
      <c r="B80" s="62"/>
      <c r="C80" s="123"/>
      <c r="D80" s="123" t="str">
        <f>IFERROR(IF('Mon Entreprise'!K8&gt;=Annexes!S20,IF(AB80&gt;=AB82,"- Le CA de référence est celui d'octobre 2019, soit une perte de "&amp;ROUND(AB80,0)&amp;" €"&amp;" ==&gt; "&amp;ROUND(AE80*100,0)&amp;" %","- Le CA de référence est celui de la création, soit une perte de "&amp;ROUND(AB82,0)&amp;" €"&amp;" ==&gt; "&amp;ROUND(AE82*100,0)&amp;" %"),IF(AB80&gt;=AB81,"- Le CA de référence est celui d'Octobre 2019, soit une perte de "&amp;ROUND(AB80,0)&amp;" €"&amp;" ==&gt; "&amp;ROUND(AE80*100,0)&amp;" %","- Le CA de référence est celui de l'exercice 2019, soit une perte de "&amp;ROUND(AB81,0)&amp;" €"&amp;" ==&gt; "&amp;ROUND(AE81*100,0)&amp;" %")),"")</f>
        <v>- Le CA de référence est celui d'Octobre 2019, soit une perte de 0 € ==&gt; 0 %</v>
      </c>
      <c r="E80" s="60"/>
      <c r="F80" s="60"/>
      <c r="G80" s="60"/>
      <c r="H80" s="60"/>
      <c r="I80" s="60"/>
      <c r="J80" s="60"/>
      <c r="K80" s="60"/>
      <c r="L80" s="60"/>
      <c r="M80" s="60"/>
      <c r="N80" s="60"/>
      <c r="O80" s="60"/>
      <c r="P80" s="40"/>
      <c r="Q80" s="44"/>
      <c r="R80" s="44"/>
      <c r="S80" s="1"/>
      <c r="T80" s="378" t="s">
        <v>29</v>
      </c>
      <c r="U80" s="379"/>
      <c r="V80" s="379"/>
      <c r="W80" s="379"/>
      <c r="X80" s="1"/>
      <c r="Y80" s="7">
        <f>'Mon Entreprise'!M74</f>
        <v>0</v>
      </c>
      <c r="Z80" s="21"/>
      <c r="AA80" s="22"/>
      <c r="AB80" s="7">
        <f>IF('Mon Entreprise'!I74-'Mon Entreprise'!M74&lt;0,0,'Mon Entreprise'!I74-'Mon Entreprise'!M74)</f>
        <v>0</v>
      </c>
      <c r="AC80" s="1"/>
      <c r="AD80" s="14"/>
      <c r="AE80" s="27">
        <f>IFERROR(1-'Mon Entreprise'!M74/'Mon Entreprise'!I74,0)</f>
        <v>0</v>
      </c>
    </row>
    <row r="81" spans="1:31" ht="15" hidden="1" customHeight="1" thickBot="1">
      <c r="C81" s="5"/>
      <c r="D81" s="5"/>
      <c r="Q81" s="61"/>
      <c r="R81" s="44"/>
      <c r="S81" s="1"/>
      <c r="T81" s="378" t="s">
        <v>25</v>
      </c>
      <c r="U81" s="379"/>
      <c r="V81" s="379"/>
      <c r="W81" s="379"/>
      <c r="X81" s="1"/>
      <c r="Y81" s="7">
        <f>'Mon Entreprise'!I61*(Annexes!O5-1)/360</f>
        <v>0</v>
      </c>
      <c r="Z81" s="21"/>
      <c r="AA81" s="22"/>
      <c r="AB81" s="7">
        <f>IF('Mon Entreprise'!I61*(Annexes!Q5-1)/360-'Mon Entreprise'!M74&lt;0,0,'Mon Entreprise'!I61*(Annexes!Q5-1)/360-'Mon Entreprise'!M74)</f>
        <v>0</v>
      </c>
      <c r="AC81" s="7"/>
      <c r="AD81" s="14"/>
      <c r="AE81" s="27">
        <f>IFERROR(1-'Mon Entreprise'!M74/('Mon Entreprise'!I61*(Annexes!Q5-1)/360),0)</f>
        <v>0</v>
      </c>
    </row>
    <row r="82" spans="1:31" ht="15" hidden="1" customHeight="1">
      <c r="B82" s="5"/>
      <c r="C82" s="5"/>
      <c r="D82" s="431" t="str">
        <f>IFERROR(IF(AB86="NON","Vous avez débuté votre activité après le 30 Septembre 2020, vous ne pouvez donc pas bénéficier de cette aide",IF(AB88="Non","Vous n'avez pas eu de fermeture administrative en octobre, vous ne pouvez donc pas bénéficier de cette aide",IF(AB89&gt;Annexes!S7*(Annexes!Q5-1),"Dans votre cas, l'aide est Plafonnée sur 333 €/jour, soit "&amp;IF(Annexes!S7*(Annexes!Q5-1)&gt;10000,10000,Annexes!S7*(Annexes!Q5-1))&amp;" €, pour le mois d'octobre","Vous pouvez bénéficier, au titre de cette aide, d'un montant de "&amp;ROUND(IF(AB89&gt;10000,10000,AB89),0)&amp;" € pour le mois d'octobre"))),"Vous n'avez pas indiqué de chiffre d'affaires de référence")</f>
        <v>Vous n'avez pas eu de fermeture administrative en octobre, vous ne pouvez donc pas bénéficier de cette aide</v>
      </c>
      <c r="E82" s="432"/>
      <c r="F82" s="432"/>
      <c r="G82" s="432"/>
      <c r="H82" s="432"/>
      <c r="I82" s="432"/>
      <c r="J82" s="432"/>
      <c r="K82" s="432"/>
      <c r="L82" s="432"/>
      <c r="M82" s="432"/>
      <c r="N82" s="432"/>
      <c r="O82" s="433"/>
      <c r="Q82" s="40"/>
      <c r="R82" s="61"/>
      <c r="T82" s="378" t="s">
        <v>22</v>
      </c>
      <c r="U82" s="379"/>
      <c r="V82" s="379"/>
      <c r="W82" s="379"/>
      <c r="X82" s="1"/>
      <c r="Y82" s="18" t="str">
        <f>IFERROR(IF('Mon Entreprise'!K8&gt;=Annexes!S20,'Mon Entreprise'!I114,"NC"),"NC")</f>
        <v>NC</v>
      </c>
      <c r="Z82" s="23"/>
      <c r="AA82" s="22"/>
      <c r="AB82" s="37" t="str">
        <f>IFERROR(IF('Mon Entreprise'!K8&gt;=Annexes!S20,IF('Mon Entreprise'!I114-'Mon Entreprise'!M74&lt;0,0,'Mon Entreprise'!I114-'Mon Entreprise'!M74),"NC"),"NC")</f>
        <v>NC</v>
      </c>
      <c r="AC82" s="118"/>
      <c r="AD82" s="14"/>
      <c r="AE82" s="28" t="str">
        <f>IFERROR(IF('Mon Entreprise'!K8&gt;=Annexes!S20,1-'Mon Entreprise'!M74/'Mon Entreprise'!I114,"NC"),"NC")</f>
        <v>NC</v>
      </c>
    </row>
    <row r="83" spans="1:31" ht="15" hidden="1" customHeight="1">
      <c r="B83" s="5"/>
      <c r="C83" s="5"/>
      <c r="D83" s="434"/>
      <c r="E83" s="435"/>
      <c r="F83" s="435"/>
      <c r="G83" s="435"/>
      <c r="H83" s="435"/>
      <c r="I83" s="435"/>
      <c r="J83" s="435"/>
      <c r="K83" s="435"/>
      <c r="L83" s="435"/>
      <c r="M83" s="435"/>
      <c r="N83" s="435"/>
      <c r="O83" s="436"/>
      <c r="Q83" s="40"/>
      <c r="R83" s="61"/>
      <c r="T83" s="119"/>
      <c r="U83" s="118"/>
      <c r="V83" s="118"/>
      <c r="W83" s="118"/>
      <c r="X83" s="1"/>
      <c r="Y83" s="18"/>
      <c r="Z83" s="23"/>
      <c r="AA83" s="21"/>
      <c r="AB83" s="37"/>
      <c r="AC83" s="118"/>
      <c r="AD83" s="1"/>
      <c r="AE83" s="28"/>
    </row>
    <row r="84" spans="1:31" ht="15" hidden="1" customHeight="1">
      <c r="B84" s="5"/>
      <c r="C84" s="5"/>
      <c r="D84" s="434"/>
      <c r="E84" s="435"/>
      <c r="F84" s="435"/>
      <c r="G84" s="435"/>
      <c r="H84" s="435"/>
      <c r="I84" s="435"/>
      <c r="J84" s="435"/>
      <c r="K84" s="435"/>
      <c r="L84" s="435"/>
      <c r="M84" s="435"/>
      <c r="N84" s="435"/>
      <c r="O84" s="436"/>
      <c r="R84" s="40"/>
      <c r="T84" s="14"/>
      <c r="U84" s="1"/>
      <c r="V84" s="1"/>
      <c r="W84" s="1"/>
      <c r="X84" s="1"/>
      <c r="Y84" s="1"/>
      <c r="Z84" s="1"/>
      <c r="AA84" s="1"/>
      <c r="AB84" s="1"/>
      <c r="AC84" s="1"/>
      <c r="AD84" s="1"/>
      <c r="AE84" s="13"/>
    </row>
    <row r="85" spans="1:31" ht="15.75" hidden="1" customHeight="1" thickBot="1">
      <c r="C85" s="5"/>
      <c r="D85" s="437"/>
      <c r="E85" s="438"/>
      <c r="F85" s="438"/>
      <c r="G85" s="438"/>
      <c r="H85" s="438"/>
      <c r="I85" s="438"/>
      <c r="J85" s="438"/>
      <c r="K85" s="438"/>
      <c r="L85" s="438"/>
      <c r="M85" s="438"/>
      <c r="N85" s="438"/>
      <c r="O85" s="439"/>
      <c r="T85" s="14"/>
      <c r="U85" s="1"/>
      <c r="V85" s="1"/>
      <c r="W85" s="1"/>
      <c r="X85" s="1"/>
      <c r="Y85" s="1"/>
      <c r="Z85" s="1"/>
      <c r="AA85" s="1"/>
      <c r="AB85" s="1"/>
      <c r="AC85" s="1"/>
      <c r="AD85" s="1"/>
      <c r="AE85" s="13"/>
    </row>
    <row r="86" spans="1:31" ht="15" hidden="1" customHeight="1">
      <c r="B86" s="5"/>
      <c r="C86" s="5"/>
      <c r="D86" s="5"/>
      <c r="T86" s="14"/>
      <c r="U86" s="377" t="s">
        <v>74</v>
      </c>
      <c r="V86" s="377"/>
      <c r="W86" s="377"/>
      <c r="X86" s="377"/>
      <c r="Y86" s="377"/>
      <c r="Z86" s="129"/>
      <c r="AA86" s="14"/>
      <c r="AB86" s="118" t="str">
        <f>IF('Mon Entreprise'!K8&lt;=Annexes!U24,"Oui","Non")</f>
        <v>Oui</v>
      </c>
      <c r="AC86" s="1"/>
      <c r="AD86" s="1"/>
      <c r="AE86" s="13"/>
    </row>
    <row r="87" spans="1:31" ht="15" hidden="1" customHeight="1">
      <c r="A87" s="5"/>
      <c r="B87" s="5"/>
      <c r="C87" s="5"/>
      <c r="T87" s="14"/>
      <c r="U87" s="379" t="s">
        <v>81</v>
      </c>
      <c r="V87" s="379"/>
      <c r="W87" s="379"/>
      <c r="X87" s="379"/>
      <c r="Y87" s="379"/>
      <c r="Z87" s="118"/>
      <c r="AA87" s="14"/>
      <c r="AB87" s="118">
        <f>IF(Annexes!M5=FALSE,0,IF(Annexes!Q5=1,0,Annexes!Q5-1))</f>
        <v>0</v>
      </c>
      <c r="AC87" s="1"/>
      <c r="AD87" s="1"/>
      <c r="AE87" s="13"/>
    </row>
    <row r="88" spans="1:31" ht="15.75" customHeight="1">
      <c r="T88" s="14"/>
      <c r="U88" s="379" t="s">
        <v>82</v>
      </c>
      <c r="V88" s="379"/>
      <c r="W88" s="379"/>
      <c r="X88" s="379"/>
      <c r="Y88" s="379"/>
      <c r="Z88" s="118"/>
      <c r="AA88" s="14"/>
      <c r="AB88" s="118" t="str">
        <f>IF(Annexes!M5=FALSE,"Non",IF(Annexes!Q5=1,"Non","Oui"))</f>
        <v>Non</v>
      </c>
      <c r="AC88" s="1"/>
      <c r="AD88" s="1"/>
      <c r="AE88" s="13"/>
    </row>
    <row r="89" spans="1:31" ht="15" customHeight="1">
      <c r="B89" s="5"/>
      <c r="C89" s="5"/>
      <c r="D89" s="5"/>
      <c r="T89" s="14"/>
      <c r="U89" s="379" t="s">
        <v>83</v>
      </c>
      <c r="V89" s="379"/>
      <c r="W89" s="379"/>
      <c r="X89" s="379"/>
      <c r="Y89" s="379"/>
      <c r="Z89" s="130"/>
      <c r="AA89" s="14"/>
      <c r="AB89" s="37">
        <f>IF('Mon Entreprise'!K8&gt;=Annexes!S20,IF(AB80&gt;=AB82,AB80,AB82),IF(AB80&gt;=AB81,AB80,AB81))</f>
        <v>0</v>
      </c>
      <c r="AC89" s="1"/>
      <c r="AD89" s="1"/>
      <c r="AE89" s="13"/>
    </row>
    <row r="90" spans="1:31" ht="16.5" thickBot="1">
      <c r="B90" s="225"/>
      <c r="C90" s="414" t="s">
        <v>30</v>
      </c>
      <c r="D90" s="414"/>
      <c r="E90" s="414"/>
      <c r="F90" s="414"/>
      <c r="G90" s="414"/>
      <c r="H90" s="414"/>
      <c r="I90" s="226"/>
      <c r="J90" s="226"/>
      <c r="K90" s="226"/>
      <c r="L90" s="226"/>
      <c r="M90" s="226"/>
      <c r="N90" s="226"/>
      <c r="O90" s="226"/>
      <c r="P90" s="1"/>
      <c r="T90" s="15"/>
      <c r="U90" s="10"/>
      <c r="V90" s="10"/>
      <c r="W90" s="10"/>
      <c r="X90" s="10"/>
      <c r="Y90" s="10"/>
      <c r="Z90" s="10"/>
      <c r="AA90" s="10"/>
      <c r="AB90" s="10"/>
      <c r="AC90" s="10"/>
      <c r="AD90" s="10"/>
      <c r="AE90" s="4"/>
    </row>
    <row r="91" spans="1:31" ht="15.75">
      <c r="B91" s="63"/>
      <c r="C91" s="24"/>
      <c r="D91" s="24"/>
      <c r="E91" s="24"/>
      <c r="F91" s="24"/>
      <c r="G91" s="24"/>
      <c r="H91" s="24"/>
      <c r="I91" s="1"/>
      <c r="J91" s="1"/>
      <c r="K91" s="1"/>
      <c r="L91" s="1"/>
      <c r="M91" s="1"/>
      <c r="N91" s="1"/>
      <c r="O91" s="1"/>
      <c r="P91" s="1"/>
      <c r="T91" s="14"/>
      <c r="U91" s="1"/>
      <c r="V91" s="1"/>
      <c r="W91" s="1"/>
      <c r="X91" s="1"/>
      <c r="Y91" s="1"/>
      <c r="Z91" s="1"/>
      <c r="AA91" s="1"/>
      <c r="AB91" s="1"/>
      <c r="AC91" s="1"/>
      <c r="AD91" s="1"/>
      <c r="AE91" s="13"/>
    </row>
    <row r="92" spans="1:31" ht="15.75" hidden="1">
      <c r="B92" s="103"/>
      <c r="C92" s="385" t="s">
        <v>100</v>
      </c>
      <c r="D92" s="385"/>
      <c r="E92" s="385"/>
      <c r="F92" s="385"/>
      <c r="G92" s="385"/>
      <c r="H92" s="385"/>
      <c r="I92" s="385"/>
      <c r="J92" s="385"/>
      <c r="K92" s="385"/>
      <c r="L92" s="385"/>
      <c r="M92" s="385"/>
      <c r="N92" s="385"/>
      <c r="O92" s="385"/>
      <c r="P92" s="1"/>
      <c r="Q92" s="1"/>
      <c r="T92" s="14"/>
      <c r="U92" s="1"/>
      <c r="V92" s="1"/>
      <c r="W92" s="1"/>
      <c r="X92" s="1"/>
      <c r="Y92" s="1"/>
      <c r="Z92" s="1"/>
      <c r="AA92" s="1"/>
      <c r="AB92" s="1"/>
      <c r="AC92" s="1"/>
      <c r="AD92" s="1"/>
      <c r="AE92" s="13"/>
    </row>
    <row r="93" spans="1:31" ht="15.75" hidden="1">
      <c r="B93" s="103"/>
      <c r="C93" s="120"/>
      <c r="D93" s="60" t="s">
        <v>26</v>
      </c>
      <c r="E93" s="120"/>
      <c r="F93" s="120"/>
      <c r="G93" s="120"/>
      <c r="H93" s="120"/>
      <c r="I93" s="120"/>
      <c r="J93" s="120"/>
      <c r="K93" s="120"/>
      <c r="L93" s="120"/>
      <c r="M93" s="120"/>
      <c r="N93" s="120"/>
      <c r="O93" s="120"/>
      <c r="P93" s="1"/>
      <c r="Q93" s="1"/>
      <c r="T93" s="14"/>
      <c r="U93" s="1"/>
      <c r="V93" s="1"/>
      <c r="W93" s="1"/>
      <c r="X93" s="1"/>
      <c r="Y93" s="1"/>
      <c r="Z93" s="1"/>
      <c r="AA93" s="1"/>
      <c r="AB93" s="1"/>
      <c r="AC93" s="1"/>
      <c r="AD93" s="1"/>
      <c r="AE93" s="13"/>
    </row>
    <row r="94" spans="1:31" ht="16.5" thickBot="1">
      <c r="B94" s="24"/>
      <c r="C94" s="24"/>
      <c r="D94" s="24"/>
      <c r="E94" s="24"/>
      <c r="F94" s="24"/>
      <c r="G94" s="24"/>
      <c r="H94" s="24"/>
      <c r="P94" s="1"/>
      <c r="Q94" s="1"/>
      <c r="R94" s="1"/>
      <c r="S94" s="1"/>
      <c r="T94" s="14"/>
      <c r="U94" s="1"/>
      <c r="V94" s="1"/>
      <c r="W94" s="1"/>
      <c r="X94" s="1"/>
      <c r="Y94" s="1"/>
      <c r="Z94" s="1"/>
      <c r="AA94" s="1"/>
      <c r="AB94" s="1"/>
      <c r="AC94" s="1"/>
      <c r="AD94" s="1"/>
      <c r="AE94" s="13"/>
    </row>
    <row r="95" spans="1:31" ht="15.75">
      <c r="B95" s="24"/>
      <c r="C95" s="24"/>
      <c r="D95" s="386" t="str">
        <f>IFERROR(IF(AND(AB123=0,AB124=0),"Vous ne pouvez pas bénéficier du fonds de solidarité pour le mois de Novembre 2020",IF(AB123&gt;AB124,"Votre entreprise peut bénéficier d'une aide de "&amp;AB123&amp;" €, au titre d'une perte d'au-moins 50 % de votre CA en Novembre 2020","Votre entreprise peut bénéficier d'une aide de "&amp;AB124&amp;"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5" s="387"/>
      <c r="F95" s="387"/>
      <c r="G95" s="387"/>
      <c r="H95" s="387"/>
      <c r="I95" s="387"/>
      <c r="J95" s="387"/>
      <c r="K95" s="387"/>
      <c r="L95" s="387"/>
      <c r="M95" s="387"/>
      <c r="N95" s="387"/>
      <c r="O95" s="388"/>
      <c r="P95" s="1"/>
      <c r="Q95" s="1"/>
      <c r="R95" s="1"/>
      <c r="S95" s="1"/>
      <c r="T95" s="25"/>
      <c r="U95" s="379" t="s">
        <v>20</v>
      </c>
      <c r="V95" s="379"/>
      <c r="W95" s="379"/>
      <c r="X95" s="1"/>
      <c r="Y95" s="117" t="s">
        <v>6</v>
      </c>
      <c r="Z95" s="117"/>
      <c r="AA95" s="117"/>
      <c r="AB95" s="117" t="s">
        <v>23</v>
      </c>
      <c r="AC95" s="117"/>
      <c r="AD95" s="117"/>
      <c r="AE95" s="26" t="s">
        <v>24</v>
      </c>
    </row>
    <row r="96" spans="1:31" ht="15.75" customHeight="1">
      <c r="B96" s="24"/>
      <c r="C96" s="24"/>
      <c r="D96" s="389"/>
      <c r="E96" s="390"/>
      <c r="F96" s="390"/>
      <c r="G96" s="390"/>
      <c r="H96" s="390"/>
      <c r="I96" s="390"/>
      <c r="J96" s="390"/>
      <c r="K96" s="390"/>
      <c r="L96" s="390"/>
      <c r="M96" s="390"/>
      <c r="N96" s="390"/>
      <c r="O96" s="391"/>
      <c r="P96" s="1"/>
      <c r="Q96" s="1"/>
      <c r="R96" s="1"/>
      <c r="S96" s="1"/>
      <c r="T96" s="25"/>
      <c r="U96" s="117"/>
      <c r="V96" s="117"/>
      <c r="W96" s="117"/>
      <c r="X96" s="1"/>
      <c r="Y96" s="117"/>
      <c r="Z96" s="117"/>
      <c r="AA96" s="117"/>
      <c r="AB96" s="117"/>
      <c r="AC96" s="117"/>
      <c r="AD96" s="117"/>
      <c r="AE96" s="26"/>
    </row>
    <row r="97" spans="2:32" ht="15.75">
      <c r="B97" s="24"/>
      <c r="C97" s="24"/>
      <c r="D97" s="389"/>
      <c r="E97" s="390"/>
      <c r="F97" s="390"/>
      <c r="G97" s="390"/>
      <c r="H97" s="390"/>
      <c r="I97" s="390"/>
      <c r="J97" s="390"/>
      <c r="K97" s="390"/>
      <c r="L97" s="390"/>
      <c r="M97" s="390"/>
      <c r="N97" s="390"/>
      <c r="O97" s="391"/>
      <c r="P97" s="1"/>
      <c r="Q97" s="1"/>
      <c r="R97" s="1"/>
      <c r="S97" s="1"/>
      <c r="T97" s="378" t="s">
        <v>102</v>
      </c>
      <c r="U97" s="379"/>
      <c r="V97" s="379"/>
      <c r="W97" s="379"/>
      <c r="X97" s="1"/>
      <c r="Y97" s="7">
        <f>'Mon Entreprise'!I79</f>
        <v>0</v>
      </c>
      <c r="Z97" s="133"/>
      <c r="AA97" s="21"/>
      <c r="AB97" s="7">
        <f>IF('Mon Entreprise'!I79-'Mon Entreprise'!M79&lt;0,0,'Mon Entreprise'!I79-'Mon Entreprise'!M79)</f>
        <v>0</v>
      </c>
      <c r="AC97" s="13"/>
      <c r="AD97" s="1"/>
      <c r="AE97" s="27">
        <f>IFERROR(1-'Mon Entreprise'!M79/'Mon Entreprise'!I79,0)</f>
        <v>0</v>
      </c>
    </row>
    <row r="98" spans="2:32" ht="15.75">
      <c r="B98" s="24"/>
      <c r="C98" s="24"/>
      <c r="D98" s="389"/>
      <c r="E98" s="390"/>
      <c r="F98" s="390"/>
      <c r="G98" s="390"/>
      <c r="H98" s="390"/>
      <c r="I98" s="390"/>
      <c r="J98" s="390"/>
      <c r="K98" s="390"/>
      <c r="L98" s="390"/>
      <c r="M98" s="390"/>
      <c r="N98" s="390"/>
      <c r="O98" s="391"/>
      <c r="P98" s="1"/>
      <c r="Q98" s="109"/>
      <c r="R98" s="1"/>
      <c r="S98" s="1"/>
      <c r="T98" s="378" t="s">
        <v>25</v>
      </c>
      <c r="U98" s="379"/>
      <c r="V98" s="379"/>
      <c r="W98" s="379"/>
      <c r="X98" s="1"/>
      <c r="Y98" s="7">
        <f>'Mon Entreprise'!I63</f>
        <v>0</v>
      </c>
      <c r="Z98" s="133"/>
      <c r="AA98" s="21"/>
      <c r="AB98" s="7">
        <f>IF('Mon Entreprise'!I63-'Mon Entreprise'!M79&lt;0,0,'Mon Entreprise'!I63-'Mon Entreprise'!M79)</f>
        <v>0</v>
      </c>
      <c r="AC98" s="36"/>
      <c r="AD98" s="1"/>
      <c r="AE98" s="27">
        <f>IFERROR(1-'Mon Entreprise'!M79/'Mon Entreprise'!I63,0)</f>
        <v>0</v>
      </c>
    </row>
    <row r="99" spans="2:32" ht="16.5" thickBot="1">
      <c r="B99" s="24"/>
      <c r="C99" s="24"/>
      <c r="D99" s="392"/>
      <c r="E99" s="393"/>
      <c r="F99" s="393"/>
      <c r="G99" s="393"/>
      <c r="H99" s="393"/>
      <c r="I99" s="393"/>
      <c r="J99" s="393"/>
      <c r="K99" s="393"/>
      <c r="L99" s="393"/>
      <c r="M99" s="393"/>
      <c r="N99" s="393"/>
      <c r="O99" s="394"/>
      <c r="P99" s="1"/>
      <c r="Q99" s="1"/>
      <c r="R99" s="109"/>
      <c r="S99" s="109"/>
      <c r="T99" s="378" t="s">
        <v>22</v>
      </c>
      <c r="U99" s="379"/>
      <c r="V99" s="379"/>
      <c r="W99" s="379"/>
      <c r="X99" s="1"/>
      <c r="Y99" s="18" t="str">
        <f>IF('Mon Entreprise'!I112="","NC",'Mon Entreprise'!I112)</f>
        <v>NC</v>
      </c>
      <c r="Z99" s="134"/>
      <c r="AA99" s="21"/>
      <c r="AB99" s="37" t="str">
        <f>IFERROR(IF('Mon Entreprise'!I112-'Mon Entreprise'!M79&lt;0,0,'Mon Entreprise'!I112-'Mon Entreprise'!M79),"NC")</f>
        <v>NC</v>
      </c>
      <c r="AC99" s="135"/>
      <c r="AD99" s="1"/>
      <c r="AE99" s="28" t="str">
        <f>IFERROR(1-'Mon Entreprise'!M79/'Mon Entreprise'!I112,"NC")</f>
        <v>NC</v>
      </c>
      <c r="AF99" s="99"/>
    </row>
    <row r="100" spans="2:32" hidden="1">
      <c r="B100" s="8"/>
      <c r="C100" s="79"/>
      <c r="D100" s="79"/>
      <c r="E100" s="78"/>
      <c r="F100" s="78"/>
      <c r="G100" s="78"/>
      <c r="H100" s="78"/>
      <c r="I100" s="78"/>
      <c r="J100" s="78"/>
      <c r="K100" s="78"/>
      <c r="L100" s="78"/>
      <c r="M100" s="78"/>
      <c r="N100" s="78"/>
      <c r="O100" s="78"/>
      <c r="Q100" s="1"/>
      <c r="R100" s="1"/>
      <c r="S100" s="1"/>
      <c r="T100" s="165"/>
      <c r="U100" s="162"/>
      <c r="V100" s="162"/>
      <c r="W100" s="162"/>
      <c r="X100" s="1"/>
      <c r="Y100" s="18"/>
      <c r="Z100" s="23"/>
      <c r="AA100" s="21"/>
      <c r="AB100" s="37"/>
      <c r="AC100" s="162"/>
      <c r="AD100" s="1"/>
      <c r="AE100" s="28"/>
    </row>
    <row r="101" spans="2:32" hidden="1">
      <c r="Q101" s="1"/>
      <c r="R101" s="1"/>
      <c r="S101" s="1"/>
      <c r="T101" s="14"/>
      <c r="U101" s="1"/>
      <c r="V101" s="1"/>
      <c r="W101" s="1"/>
      <c r="X101" s="1"/>
      <c r="Y101" s="1"/>
      <c r="Z101" s="1"/>
      <c r="AA101" s="1"/>
      <c r="AB101" s="1"/>
      <c r="AC101" s="1"/>
      <c r="AD101" s="1"/>
      <c r="AE101" s="13"/>
    </row>
    <row r="102" spans="2:32" hidden="1">
      <c r="C102" s="60" t="s">
        <v>62</v>
      </c>
      <c r="D102" s="60"/>
      <c r="E102" s="60"/>
      <c r="F102" s="60"/>
      <c r="G102" s="60"/>
      <c r="H102" s="60"/>
      <c r="I102" s="60"/>
      <c r="J102" s="40"/>
      <c r="K102" s="40"/>
      <c r="L102" s="40"/>
      <c r="M102" s="40"/>
      <c r="N102" s="40"/>
      <c r="O102" s="40"/>
      <c r="R102" s="1"/>
      <c r="S102" s="1"/>
      <c r="T102" s="14"/>
      <c r="U102" s="377" t="s">
        <v>74</v>
      </c>
      <c r="V102" s="377"/>
      <c r="W102" s="377"/>
      <c r="X102" s="377"/>
      <c r="Y102" s="377"/>
      <c r="Z102" s="1"/>
      <c r="AA102" s="14"/>
      <c r="AB102" s="118" t="str">
        <f>IF('Mon Entreprise'!K8&lt;=Annexes!U24,"Oui","Non")</f>
        <v>Oui</v>
      </c>
      <c r="AC102" s="1"/>
      <c r="AD102" s="1"/>
      <c r="AE102" s="13"/>
    </row>
    <row r="103" spans="2:32" ht="15" hidden="1" customHeight="1">
      <c r="C103" s="60"/>
      <c r="D103" s="60" t="str">
        <f>IFERROR(IF('Mon Entreprise'!K8&gt;=Annexes!S20,IF(AB97&gt;=AB99,"Le CA de référence est celui de Novembre 2019, soit une perte de "&amp;ROUND(AB97,0)&amp;" €"&amp;" ==&gt; "&amp;ROUND(AE97*100,0)&amp;" %","Le CA de référence est celui de la création, soit une perte de "&amp;ROUND(AB99,0)&amp;" €"&amp;" ==&gt; "&amp;ROUND(AE99*100,0)&amp;" %"),IF(AB97&gt;=AB98,"Le CA de référence est celui de Novembre 2019, soit une perte de "&amp;ROUND(AB97,0)&amp;" €"&amp;" ==&gt; "&amp;ROUND(AE97*100,0)&amp;" %","Le CA de référence est celui de l'exercice 2019, soit une perte de "&amp;ROUND(AB98,0)&amp;" €"&amp;" ==&gt; "&amp;ROUND(AE98*100,0)&amp;" %")),"")</f>
        <v>Le CA de référence est celui de Novembre 2019, soit une perte de 0 € ==&gt; 0 %</v>
      </c>
      <c r="E103" s="60"/>
      <c r="F103" s="60"/>
      <c r="G103" s="60"/>
      <c r="H103" s="60"/>
      <c r="I103" s="60"/>
      <c r="J103" s="40"/>
      <c r="K103" s="40"/>
      <c r="L103" s="40"/>
      <c r="M103" s="40"/>
      <c r="N103" s="40"/>
      <c r="O103" s="40"/>
      <c r="T103" s="14"/>
      <c r="U103" s="377" t="s">
        <v>87</v>
      </c>
      <c r="V103" s="377"/>
      <c r="W103" s="377"/>
      <c r="X103" s="377"/>
      <c r="Y103" s="377"/>
      <c r="Z103" s="1"/>
      <c r="AA103" s="14"/>
      <c r="AB103" s="118">
        <f>IF('Mon Entreprise'!K8&gt;=Annexes!S20,IF(AB97&gt;=AB99,AB97,AB99),IF(AB97&gt;=AB98,AB97,AB98))</f>
        <v>0</v>
      </c>
      <c r="AC103" s="1"/>
      <c r="AD103" s="1"/>
      <c r="AE103" s="13"/>
    </row>
    <row r="104" spans="2:32" ht="15" hidden="1" customHeight="1" thickBot="1">
      <c r="T104" s="14"/>
      <c r="U104" s="377" t="s">
        <v>88</v>
      </c>
      <c r="V104" s="377"/>
      <c r="W104" s="377"/>
      <c r="X104" s="377"/>
      <c r="Y104" s="377"/>
      <c r="Z104" s="1"/>
      <c r="AA104" s="14"/>
      <c r="AB104" s="19">
        <f>IF('Mon Entreprise'!K8&gt;=Annexes!S20,IF(AB97&gt;=AB99,AE97,AE99),IF(AB97&gt;=AB98,AE97,AE98))</f>
        <v>0</v>
      </c>
      <c r="AC104" s="1"/>
      <c r="AD104" s="1"/>
      <c r="AE104" s="13"/>
    </row>
    <row r="105" spans="2:32" ht="15" hidden="1" customHeight="1">
      <c r="D105" s="400" t="str">
        <f>IFERROR(IF(AB102="Non","Vous avez débuté votre activité après le 30 Septembre 2020, vous ne pouvez donc pas bénéficier de cette aide",IF(AB104&gt;=0.5,IF(AB103&gt;Annexes!S5,"Dans votre cas, l'aide est Plafonnée, à "&amp;Annexes!S5&amp;" € pour le mois de novembre","Vous pouvez bénéficier, au titre de cette aide, d'un montant de "&amp;ROUND(AB103,0)&amp;" € pour le mois de novembre"),"L'entreprise n'a pas une perte d'au moins 50 % en novembre 2020")),"Vous n'avez pas indiqué de chiffre d'affaires de référence")</f>
        <v>L'entreprise n'a pas une perte d'au moins 50 % en novembre 2020</v>
      </c>
      <c r="E105" s="401"/>
      <c r="F105" s="401"/>
      <c r="G105" s="401"/>
      <c r="H105" s="401"/>
      <c r="I105" s="401"/>
      <c r="J105" s="401"/>
      <c r="K105" s="401"/>
      <c r="L105" s="401"/>
      <c r="M105" s="401"/>
      <c r="N105" s="401"/>
      <c r="O105" s="402"/>
      <c r="T105" s="14"/>
      <c r="U105" s="163"/>
      <c r="V105" s="163"/>
      <c r="W105" s="163"/>
      <c r="X105" s="163"/>
      <c r="Y105" s="163"/>
      <c r="Z105" s="1"/>
      <c r="AA105" s="1"/>
      <c r="AB105" s="19"/>
      <c r="AC105" s="1"/>
      <c r="AD105" s="1"/>
      <c r="AE105" s="13"/>
    </row>
    <row r="106" spans="2:32" ht="15" hidden="1" customHeight="1">
      <c r="D106" s="403"/>
      <c r="E106" s="404"/>
      <c r="F106" s="404"/>
      <c r="G106" s="404"/>
      <c r="H106" s="404"/>
      <c r="I106" s="404"/>
      <c r="J106" s="404"/>
      <c r="K106" s="404"/>
      <c r="L106" s="404"/>
      <c r="M106" s="404"/>
      <c r="N106" s="404"/>
      <c r="O106" s="405"/>
      <c r="T106" s="14"/>
      <c r="U106" s="163"/>
      <c r="V106" s="163"/>
      <c r="W106" s="163"/>
      <c r="X106" s="163"/>
      <c r="Y106" s="163"/>
      <c r="Z106" s="1"/>
      <c r="AA106" s="1"/>
      <c r="AB106" s="19"/>
      <c r="AC106" s="1"/>
      <c r="AD106" s="1"/>
      <c r="AE106" s="13"/>
    </row>
    <row r="107" spans="2:32" ht="15" hidden="1" customHeight="1">
      <c r="D107" s="403"/>
      <c r="E107" s="404"/>
      <c r="F107" s="404"/>
      <c r="G107" s="404"/>
      <c r="H107" s="404"/>
      <c r="I107" s="404"/>
      <c r="J107" s="404"/>
      <c r="K107" s="404"/>
      <c r="L107" s="404"/>
      <c r="M107" s="404"/>
      <c r="N107" s="404"/>
      <c r="O107" s="405"/>
      <c r="T107" s="14"/>
      <c r="U107" s="163"/>
      <c r="V107" s="163"/>
      <c r="W107" s="163"/>
      <c r="X107" s="163"/>
      <c r="Y107" s="163"/>
      <c r="Z107" s="1"/>
      <c r="AA107" s="1"/>
      <c r="AB107" s="19"/>
      <c r="AC107" s="1"/>
      <c r="AD107" s="1"/>
      <c r="AE107" s="13"/>
    </row>
    <row r="108" spans="2:32" ht="15" hidden="1" customHeight="1" thickBot="1">
      <c r="D108" s="406"/>
      <c r="E108" s="407"/>
      <c r="F108" s="407"/>
      <c r="G108" s="407"/>
      <c r="H108" s="407"/>
      <c r="I108" s="407"/>
      <c r="J108" s="407"/>
      <c r="K108" s="407"/>
      <c r="L108" s="407"/>
      <c r="M108" s="407"/>
      <c r="N108" s="407"/>
      <c r="O108" s="408"/>
      <c r="T108" s="14"/>
      <c r="U108" s="379"/>
      <c r="V108" s="379"/>
      <c r="W108" s="379"/>
      <c r="X108" s="379"/>
      <c r="Y108" s="379"/>
      <c r="Z108" s="1"/>
      <c r="AA108" s="1"/>
      <c r="AB108" s="118"/>
      <c r="AC108" s="1"/>
      <c r="AD108" s="1"/>
      <c r="AE108" s="13"/>
    </row>
    <row r="109" spans="2:32" ht="15.75" hidden="1" customHeight="1">
      <c r="C109" s="78"/>
      <c r="D109" s="78"/>
      <c r="E109" s="78"/>
      <c r="F109" s="78"/>
      <c r="G109" s="78"/>
      <c r="H109" s="78"/>
      <c r="I109" s="78"/>
      <c r="J109" s="78"/>
      <c r="K109" s="78"/>
      <c r="L109" s="78"/>
      <c r="M109" s="78"/>
      <c r="N109" s="78"/>
      <c r="O109" s="78"/>
      <c r="T109" s="14"/>
      <c r="U109" s="1"/>
      <c r="V109" s="1"/>
      <c r="W109" s="1"/>
      <c r="X109" s="1"/>
      <c r="Y109" s="1"/>
      <c r="Z109" s="1"/>
      <c r="AA109" s="1"/>
      <c r="AB109" s="118"/>
      <c r="AC109" s="1"/>
      <c r="AD109" s="1"/>
      <c r="AE109" s="13"/>
    </row>
    <row r="110" spans="2:32" ht="15" hidden="1" customHeight="1">
      <c r="T110" s="14"/>
      <c r="U110" s="1"/>
      <c r="V110" s="1"/>
      <c r="W110" s="1"/>
      <c r="X110" s="1"/>
      <c r="Y110" s="1"/>
      <c r="Z110" s="1"/>
      <c r="AA110" s="1"/>
      <c r="AB110" s="118"/>
      <c r="AC110" s="1"/>
      <c r="AD110" s="1"/>
      <c r="AE110" s="13"/>
    </row>
    <row r="111" spans="2:32" ht="15" hidden="1" customHeight="1">
      <c r="C111" s="415" t="s">
        <v>105</v>
      </c>
      <c r="D111" s="415"/>
      <c r="E111" s="415"/>
      <c r="F111" s="415"/>
      <c r="G111" s="415"/>
      <c r="H111" s="415"/>
      <c r="I111" s="415"/>
      <c r="J111" s="415"/>
      <c r="K111" s="415"/>
      <c r="L111" s="415"/>
      <c r="M111" s="415"/>
      <c r="N111" s="415"/>
      <c r="O111" s="415"/>
      <c r="P111" s="40"/>
      <c r="T111" s="14"/>
      <c r="U111" s="1"/>
      <c r="V111" s="1"/>
      <c r="W111" s="1"/>
      <c r="X111" s="1"/>
      <c r="Y111" s="1"/>
      <c r="Z111" s="1"/>
      <c r="AA111" s="1"/>
      <c r="AB111" s="118"/>
      <c r="AC111" s="1"/>
      <c r="AD111" s="1"/>
      <c r="AE111" s="13"/>
    </row>
    <row r="112" spans="2:32" ht="15.75" hidden="1" customHeight="1">
      <c r="C112" s="415"/>
      <c r="D112" s="415"/>
      <c r="E112" s="415"/>
      <c r="F112" s="415"/>
      <c r="G112" s="415"/>
      <c r="H112" s="415"/>
      <c r="I112" s="415"/>
      <c r="J112" s="415"/>
      <c r="K112" s="415"/>
      <c r="L112" s="415"/>
      <c r="M112" s="415"/>
      <c r="N112" s="415"/>
      <c r="O112" s="415"/>
      <c r="P112" s="40"/>
      <c r="Q112" s="40"/>
      <c r="T112" s="416" t="s">
        <v>4</v>
      </c>
      <c r="U112" s="397"/>
      <c r="V112" s="397"/>
      <c r="W112" s="397"/>
      <c r="X112" s="397"/>
      <c r="Y112" s="397"/>
      <c r="Z112" s="1"/>
      <c r="AA112" s="14"/>
      <c r="AB112" s="132">
        <f>IFERROR(IF('Mon Entreprise'!K8&lt;Annexes!S17,IF(IFERROR(1-'Mon Entreprise'!M83/'Mon Entreprise'!I83,0)&gt;=IFERROR(1-'Mon Entreprise'!M83/('Mon Entreprise'!I63*2),0),1-'Mon Entreprise'!M83/'Mon Entreprise'!I83,1-'Mon Entreprise'!M83/('Mon Entreprise'!I63*2)),1-'Mon Entreprise'!M83/'Mon Entreprise'!I126),0)</f>
        <v>0</v>
      </c>
      <c r="AC112" s="1"/>
      <c r="AD112" s="1"/>
      <c r="AE112" s="13"/>
    </row>
    <row r="113" spans="2:31" ht="15" hidden="1" customHeight="1">
      <c r="C113" s="60"/>
      <c r="E113" s="415" t="str">
        <f>IF('Mon Entreprise'!K8&gt;Annexes!U24,"",IF(OR(AB113="OUI",AND(AB114="OUI",AB112&gt;=Annexes!T5),AB115=TRUE),"",IF(AND(AB114="OUI",AB112&lt;Annexes!T5),"L'entreprise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3" s="415"/>
      <c r="G113" s="415"/>
      <c r="H113" s="415"/>
      <c r="I113" s="415"/>
      <c r="J113" s="415"/>
      <c r="K113" s="415"/>
      <c r="L113" s="415"/>
      <c r="M113" s="415"/>
      <c r="N113" s="415"/>
      <c r="O113" s="415"/>
      <c r="P113" s="40"/>
      <c r="Q113" s="40"/>
      <c r="T113" s="14"/>
      <c r="U113" s="397" t="s">
        <v>8</v>
      </c>
      <c r="V113" s="397"/>
      <c r="W113" s="397"/>
      <c r="X113" s="397"/>
      <c r="Y113" s="397"/>
      <c r="Z113" s="1"/>
      <c r="AA113" s="14"/>
      <c r="AB113" s="19" t="str">
        <f>IF((AND(Annexes!F5&gt;1,Annexes!F5&lt;=Annexes!H6)),"OUI","NON")</f>
        <v>NON</v>
      </c>
      <c r="AC113" s="1"/>
      <c r="AD113" s="1"/>
      <c r="AE113" s="13"/>
    </row>
    <row r="114" spans="2:31" ht="15" hidden="1" customHeight="1">
      <c r="C114" s="60"/>
      <c r="D114" s="131"/>
      <c r="E114" s="415"/>
      <c r="F114" s="415"/>
      <c r="G114" s="415"/>
      <c r="H114" s="415"/>
      <c r="I114" s="415"/>
      <c r="J114" s="415"/>
      <c r="K114" s="415"/>
      <c r="L114" s="415"/>
      <c r="M114" s="415"/>
      <c r="N114" s="415"/>
      <c r="O114" s="415"/>
      <c r="P114" s="40"/>
      <c r="Q114" s="40"/>
      <c r="T114" s="14"/>
      <c r="U114" s="379" t="s">
        <v>9</v>
      </c>
      <c r="V114" s="379"/>
      <c r="W114" s="379"/>
      <c r="X114" s="379"/>
      <c r="Y114" s="379"/>
      <c r="Z114" s="1"/>
      <c r="AA114" s="14"/>
      <c r="AB114" s="19" t="str">
        <f>IF((AND(Annexes!F7&gt;1,Annexes!F7&lt;=Annexes!H8)),"OUI","NON")</f>
        <v>NON</v>
      </c>
      <c r="AC114" s="1"/>
      <c r="AD114" s="1"/>
      <c r="AE114" s="13"/>
    </row>
    <row r="115" spans="2:31" ht="15" hidden="1" customHeight="1">
      <c r="C115" s="60"/>
      <c r="D115" s="60" t="str">
        <f>IFERROR(IF('Mon Entreprise'!K8&gt;=Annexes!S20,IF(AB97&gt;=AB99,"- Le CA de référence est celui de Novembre 2019, soit une perte de "&amp;ROUND(AB97,0)&amp;" €"&amp;" ==&gt; "&amp;ROUND(AE97*100,0)&amp;" %","- Le CA de référence est celui de la création, soit une perte de "&amp;ROUND(AB99,0)&amp;" €"&amp;" ==&gt; "&amp;ROUND(AE99*100,0)&amp;" %"),IF(AB97&gt;=AB98,"- Le CA de référence est celui de Novembre 2019, soit une perte de "&amp;ROUND(AB97,0)&amp;" €"&amp;" ==&gt; "&amp;ROUND(AE97*100,0)&amp;" %","- Le CA de référence est celui de l'exercice 2019, soit une perte de "&amp;ROUND(AB98,0)&amp;" €"&amp;" ==&gt; "&amp;ROUND(AE98*100,0)&amp;" %")),"")</f>
        <v>- Le CA de référence est celui de Novembre 2019, soit une perte de 0 € ==&gt; 0 %</v>
      </c>
      <c r="E115" s="60"/>
      <c r="F115" s="60"/>
      <c r="G115" s="60"/>
      <c r="H115" s="60"/>
      <c r="I115" s="60"/>
      <c r="J115" s="60"/>
      <c r="K115" s="60"/>
      <c r="L115" s="60"/>
      <c r="M115" s="60"/>
      <c r="N115" s="60"/>
      <c r="O115" s="60"/>
      <c r="P115" s="40"/>
      <c r="Q115" s="40"/>
      <c r="R115" s="40"/>
      <c r="T115" s="14"/>
      <c r="U115" s="379" t="s">
        <v>12</v>
      </c>
      <c r="V115" s="379"/>
      <c r="W115" s="379"/>
      <c r="X115" s="379"/>
      <c r="Y115" s="379"/>
      <c r="Z115" s="1"/>
      <c r="AA115" s="14"/>
      <c r="AB115" s="19" t="b">
        <f>Annexes!M7</f>
        <v>0</v>
      </c>
      <c r="AC115" s="1"/>
      <c r="AD115" s="1"/>
      <c r="AE115" s="13"/>
    </row>
    <row r="116" spans="2:31" ht="15" hidden="1" customHeight="1">
      <c r="C116" s="40"/>
      <c r="D116" s="60" t="str">
        <f>IF(OR(AB113="OUI",AB115=TRUE),"- Sans ticket modérateur",IF(AND(AB114="OUI",AB112&gt;=0.8),"- La Perte de référence est plafonnée à 80 %, soit "&amp;ROUND(AB121,0)&amp;" €","- Sans ticket modérateur"))</f>
        <v>- Sans ticket modérateur</v>
      </c>
      <c r="E116" s="40"/>
      <c r="F116" s="40"/>
      <c r="G116" s="40"/>
      <c r="H116" s="40"/>
      <c r="I116" s="40"/>
      <c r="J116" s="40"/>
      <c r="K116" s="40"/>
      <c r="M116" s="40"/>
      <c r="N116" s="40"/>
      <c r="O116" s="40"/>
      <c r="P116" s="40"/>
      <c r="Q116" s="40"/>
      <c r="R116" s="40"/>
      <c r="T116" s="14"/>
      <c r="U116" s="377" t="s">
        <v>74</v>
      </c>
      <c r="V116" s="377"/>
      <c r="W116" s="377"/>
      <c r="X116" s="377"/>
      <c r="Y116" s="377"/>
      <c r="Z116" s="1"/>
      <c r="AA116" s="14"/>
      <c r="AB116" s="118" t="str">
        <f>IF('Mon Entreprise'!K8&lt;=Annexes!U24,"Oui","Non")</f>
        <v>Oui</v>
      </c>
      <c r="AC116" s="1"/>
      <c r="AD116" s="1"/>
      <c r="AE116" s="13"/>
    </row>
    <row r="117" spans="2:31" ht="15" hidden="1" customHeight="1" thickBot="1">
      <c r="Q117" s="40"/>
      <c r="R117" s="40"/>
      <c r="T117" s="14"/>
      <c r="U117" s="377" t="s">
        <v>87</v>
      </c>
      <c r="V117" s="377"/>
      <c r="W117" s="377"/>
      <c r="X117" s="377"/>
      <c r="Y117" s="377"/>
      <c r="Z117" s="1"/>
      <c r="AA117" s="14"/>
      <c r="AB117" s="118">
        <f>IF('Mon Entreprise'!K8&gt;=Annexes!S20,IF(AB97&gt;=AB99,AB97,AB99),IF(AB97&gt;=AB98,AB97,AB98))</f>
        <v>0</v>
      </c>
      <c r="AC117" s="1"/>
      <c r="AD117" s="1"/>
      <c r="AE117" s="13"/>
    </row>
    <row r="118" spans="2:31" ht="15" hidden="1" customHeight="1">
      <c r="D118" s="400" t="str">
        <f>IFERROR(IF('Mon Entreprise'!K8&gt;Annexes!U24,"Vous avez débuté votre activité après le 30 Septembre 2020, vous ne pouvez donc pas bénéficier de cette aide",IF(AB115=TRUE,IF(AB121&gt;Annexes!S6,"Dans votre cas, l'aide est Plafonnée, à "&amp;Annexes!S6&amp;" € pour le mois de Novembre","Vous pouvez bénéficier, au titre de cette aide, d'un montant de "&amp;ROUND(AB121,0)&amp;" € pour le mois de novembre"),IF(AB118&gt;=0.5,IF(OR(AB113="OUI",AND(AB114="OUI",AB112&gt;=Annexes!T5)),IF(AB121&gt;Annexes!S6,"Dans votre cas, l'aide est Plafonnée, à "&amp;Annexes!S6&amp;" € pour le mois de Novembre","Vous pouvez bénéficier, au titre de cette aide, d'un montant de "&amp;ROUND(AB121,0)&amp;" € pour le mois de novembre"),IF(AND(AB114="OUI",AB112&lt;Annexes!T5),"L'entreprise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8" s="401"/>
      <c r="F118" s="401"/>
      <c r="G118" s="401"/>
      <c r="H118" s="401"/>
      <c r="I118" s="401"/>
      <c r="J118" s="401"/>
      <c r="K118" s="401"/>
      <c r="L118" s="401"/>
      <c r="M118" s="401"/>
      <c r="N118" s="401"/>
      <c r="O118" s="402"/>
      <c r="Q118" s="40"/>
      <c r="R118" s="40"/>
      <c r="T118" s="14"/>
      <c r="U118" s="377" t="s">
        <v>88</v>
      </c>
      <c r="V118" s="377"/>
      <c r="W118" s="377"/>
      <c r="X118" s="377"/>
      <c r="Y118" s="377"/>
      <c r="Z118" s="1"/>
      <c r="AA118" s="14"/>
      <c r="AB118" s="19">
        <f>IF('Mon Entreprise'!K8&gt;=Annexes!S20,IF(AB97&gt;=AB99,AE97,AE99),IF(AB97&gt;=AB98,AE97,AE98))</f>
        <v>0</v>
      </c>
      <c r="AC118" s="1"/>
      <c r="AD118" s="1"/>
      <c r="AE118" s="13"/>
    </row>
    <row r="119" spans="2:31" ht="15" hidden="1" customHeight="1">
      <c r="D119" s="403"/>
      <c r="E119" s="404"/>
      <c r="F119" s="404"/>
      <c r="G119" s="404"/>
      <c r="H119" s="404"/>
      <c r="I119" s="404"/>
      <c r="J119" s="404"/>
      <c r="K119" s="404"/>
      <c r="L119" s="404"/>
      <c r="M119" s="404"/>
      <c r="N119" s="404"/>
      <c r="O119" s="405"/>
      <c r="Q119" s="40"/>
      <c r="R119" s="40"/>
      <c r="T119" s="14"/>
      <c r="U119" s="379" t="s">
        <v>76</v>
      </c>
      <c r="V119" s="379"/>
      <c r="W119" s="379"/>
      <c r="X119" s="379"/>
      <c r="Y119" s="379"/>
      <c r="Z119" s="1"/>
      <c r="AA119" s="14"/>
      <c r="AB119" s="55">
        <f>IF(OR(AB113="OUI",AB115=TRUE),1,IF(AND(AB114="OUI",AB112&gt;=0.8),0.8,1))</f>
        <v>1</v>
      </c>
      <c r="AC119" s="1"/>
      <c r="AD119" s="1"/>
      <c r="AE119" s="13"/>
    </row>
    <row r="120" spans="2:31" ht="15" hidden="1" customHeight="1">
      <c r="D120" s="403"/>
      <c r="E120" s="404"/>
      <c r="F120" s="404"/>
      <c r="G120" s="404"/>
      <c r="H120" s="404"/>
      <c r="I120" s="404"/>
      <c r="J120" s="404"/>
      <c r="K120" s="404"/>
      <c r="L120" s="404"/>
      <c r="M120" s="404"/>
      <c r="N120" s="404"/>
      <c r="O120" s="405"/>
      <c r="Q120" s="40"/>
      <c r="R120" s="40"/>
      <c r="T120" s="14"/>
      <c r="U120" s="379" t="s">
        <v>83</v>
      </c>
      <c r="V120" s="379"/>
      <c r="W120" s="379"/>
      <c r="X120" s="379"/>
      <c r="Y120" s="379"/>
      <c r="Z120" s="1"/>
      <c r="AA120" s="14"/>
      <c r="AB120" s="180">
        <f>IF('Mon Entreprise'!K8&gt;=Annexes!S20,IF(AB97&gt;=AB99,Y97,Y99),IF(AB97&gt;=AB98,Y97,Y98))</f>
        <v>0</v>
      </c>
      <c r="AC120" s="1"/>
      <c r="AD120" s="1"/>
      <c r="AE120" s="13"/>
    </row>
    <row r="121" spans="2:31" ht="15" hidden="1" customHeight="1" thickBot="1">
      <c r="D121" s="406"/>
      <c r="E121" s="407"/>
      <c r="F121" s="407"/>
      <c r="G121" s="407"/>
      <c r="H121" s="407"/>
      <c r="I121" s="407"/>
      <c r="J121" s="407"/>
      <c r="K121" s="407"/>
      <c r="L121" s="407"/>
      <c r="M121" s="407"/>
      <c r="N121" s="407"/>
      <c r="O121" s="408"/>
      <c r="R121" s="40"/>
      <c r="T121" s="14"/>
      <c r="U121" s="379" t="s">
        <v>109</v>
      </c>
      <c r="V121" s="379"/>
      <c r="W121" s="379"/>
      <c r="X121" s="379"/>
      <c r="Y121" s="379"/>
      <c r="Z121" s="1"/>
      <c r="AA121" s="14"/>
      <c r="AB121" s="118">
        <f>IF(AB119=1,AB117,IF(AB117*AB119&gt;1500,IF(AB117&gt;1500,AB117*AB119,"Impossible"),IF(AB117&lt;1500,AB117,1500)))</f>
        <v>0</v>
      </c>
      <c r="AC121" s="1"/>
      <c r="AD121" s="1"/>
      <c r="AE121" s="13"/>
    </row>
    <row r="122" spans="2:31" ht="37.5" hidden="1" customHeight="1">
      <c r="D122" s="380"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22" s="380"/>
      <c r="F122" s="380"/>
      <c r="G122" s="380"/>
      <c r="H122" s="380"/>
      <c r="I122" s="380"/>
      <c r="J122" s="380"/>
      <c r="K122" s="380"/>
      <c r="L122" s="380"/>
      <c r="M122" s="380"/>
      <c r="N122" s="380"/>
      <c r="O122" s="380"/>
      <c r="R122" s="40"/>
      <c r="T122" s="14"/>
      <c r="U122" s="148"/>
      <c r="V122" s="148"/>
      <c r="W122" s="148"/>
      <c r="X122" s="148"/>
      <c r="Y122" s="148"/>
      <c r="Z122" s="1"/>
      <c r="AA122" s="1"/>
      <c r="AB122" s="148"/>
      <c r="AC122" s="1"/>
      <c r="AD122" s="1"/>
      <c r="AE122" s="13"/>
    </row>
    <row r="123" spans="2:31" ht="15" hidden="1" customHeight="1">
      <c r="D123" s="238"/>
      <c r="E123" s="239"/>
      <c r="F123" s="239"/>
      <c r="G123" s="239"/>
      <c r="H123" s="239"/>
      <c r="I123" s="239"/>
      <c r="J123" s="239"/>
      <c r="K123" s="239"/>
      <c r="L123" s="239"/>
      <c r="M123" s="239"/>
      <c r="N123" s="239"/>
      <c r="O123" s="239"/>
      <c r="R123" s="40"/>
      <c r="T123" s="14"/>
      <c r="U123" s="379" t="s">
        <v>85</v>
      </c>
      <c r="V123" s="379"/>
      <c r="W123" s="379"/>
      <c r="X123" s="379"/>
      <c r="Y123" s="379"/>
      <c r="Z123" s="1"/>
      <c r="AA123" s="14"/>
      <c r="AB123" s="118">
        <f>IF(AB102="Non",0,IF(AB104&gt;=0.5,IF(AB103&gt;Annexes!S5,Annexes!S5,ROUND(AB103,0)),0))</f>
        <v>0</v>
      </c>
      <c r="AC123" s="1"/>
      <c r="AD123" s="1"/>
      <c r="AE123" s="13"/>
    </row>
    <row r="124" spans="2:31" ht="15" customHeight="1">
      <c r="R124" s="40"/>
      <c r="T124" s="14"/>
      <c r="U124" s="379" t="s">
        <v>84</v>
      </c>
      <c r="V124" s="379"/>
      <c r="W124" s="379"/>
      <c r="X124" s="379"/>
      <c r="Y124" s="379"/>
      <c r="Z124" s="1"/>
      <c r="AA124" s="14"/>
      <c r="AB124" s="118">
        <f>IFERROR(IF('Mon Entreprise'!K8&gt;Annexes!U24,0,IF(AB115=TRUE,IF(AB121&gt;Annexes!S6,Annexes!S6,ROUND(AB121,0)),IF(AB118&gt;=0.5,IF(OR(AB113="OUI",AND(AB114="OUI",AB112&gt;=Annexes!T5),AB115=TRUE),IF(AB121&gt;Annexes!S6,Annexes!S6,ROUND(AB121,0)),IF(AND(AB114="OUI",AB112&lt;Annexes!T5),0,0)),0))),0)</f>
        <v>0</v>
      </c>
      <c r="AC124" s="1"/>
      <c r="AD124" s="1"/>
      <c r="AE124" s="13"/>
    </row>
    <row r="125" spans="2:31" ht="15.75" customHeight="1">
      <c r="M125" s="3"/>
      <c r="T125" s="14"/>
      <c r="U125" s="162"/>
      <c r="V125" s="162"/>
      <c r="W125" s="162"/>
      <c r="X125" s="162"/>
      <c r="Y125" s="162"/>
      <c r="Z125" s="1"/>
      <c r="AA125" s="1"/>
      <c r="AB125" s="162"/>
      <c r="AC125" s="1"/>
      <c r="AD125" s="1"/>
      <c r="AE125" s="13"/>
    </row>
    <row r="126" spans="2:31" ht="15" customHeight="1" thickBot="1">
      <c r="B126" s="225"/>
      <c r="C126" s="414" t="s">
        <v>99</v>
      </c>
      <c r="D126" s="414"/>
      <c r="E126" s="414"/>
      <c r="F126" s="414"/>
      <c r="G126" s="414"/>
      <c r="H126" s="414"/>
      <c r="I126" s="226"/>
      <c r="J126" s="226"/>
      <c r="K126" s="226"/>
      <c r="L126" s="226"/>
      <c r="M126" s="226"/>
      <c r="N126" s="226"/>
      <c r="O126" s="226"/>
      <c r="T126" s="15"/>
      <c r="U126" s="10"/>
      <c r="V126" s="10"/>
      <c r="W126" s="10"/>
      <c r="X126" s="10"/>
      <c r="Y126" s="10"/>
      <c r="Z126" s="10"/>
      <c r="AA126" s="10"/>
      <c r="AB126" s="10"/>
      <c r="AC126" s="10"/>
      <c r="AD126" s="10"/>
      <c r="AE126" s="4"/>
    </row>
    <row r="127" spans="2:31" ht="15" customHeight="1">
      <c r="B127" s="63"/>
      <c r="C127" s="24"/>
      <c r="D127" s="24"/>
      <c r="E127" s="24"/>
      <c r="F127" s="24"/>
      <c r="G127" s="24"/>
      <c r="H127" s="24"/>
      <c r="I127" s="1"/>
      <c r="J127" s="1"/>
      <c r="K127" s="1"/>
      <c r="L127" s="1"/>
      <c r="M127" s="1"/>
      <c r="N127" s="1"/>
      <c r="O127" s="1"/>
      <c r="T127" s="16"/>
      <c r="U127" s="11"/>
      <c r="V127" s="11"/>
      <c r="W127" s="11"/>
      <c r="X127" s="11"/>
      <c r="Y127" s="11"/>
      <c r="Z127" s="11"/>
      <c r="AA127" s="11"/>
      <c r="AB127" s="11"/>
      <c r="AC127" s="11"/>
      <c r="AD127" s="11"/>
      <c r="AE127" s="12"/>
    </row>
    <row r="128" spans="2:31" ht="15.75" hidden="1" customHeight="1">
      <c r="B128" s="103"/>
      <c r="C128" s="385" t="s">
        <v>122</v>
      </c>
      <c r="D128" s="385"/>
      <c r="E128" s="385"/>
      <c r="F128" s="385"/>
      <c r="G128" s="385"/>
      <c r="H128" s="385"/>
      <c r="I128" s="385"/>
      <c r="J128" s="385"/>
      <c r="K128" s="385"/>
      <c r="L128" s="385"/>
      <c r="M128" s="385"/>
      <c r="N128" s="385"/>
      <c r="O128" s="385"/>
      <c r="P128" s="1"/>
      <c r="T128" s="14"/>
      <c r="U128" s="1"/>
      <c r="V128" s="1"/>
      <c r="W128" s="1"/>
      <c r="X128" s="1"/>
      <c r="Y128" s="1"/>
      <c r="Z128" s="1"/>
      <c r="AA128" s="1"/>
      <c r="AB128" s="1"/>
      <c r="AC128" s="1"/>
      <c r="AD128" s="1"/>
      <c r="AE128" s="13"/>
    </row>
    <row r="129" spans="2:31" ht="15.75" hidden="1">
      <c r="B129" s="103"/>
      <c r="C129" s="192"/>
      <c r="D129" s="60" t="s">
        <v>26</v>
      </c>
      <c r="E129" s="192"/>
      <c r="F129" s="192"/>
      <c r="G129" s="192"/>
      <c r="H129" s="192"/>
      <c r="I129" s="192"/>
      <c r="J129" s="192"/>
      <c r="K129" s="192"/>
      <c r="L129" s="192"/>
      <c r="M129" s="192"/>
      <c r="N129" s="192"/>
      <c r="O129" s="192"/>
      <c r="P129" s="1"/>
      <c r="T129" s="25"/>
      <c r="U129" s="379" t="s">
        <v>20</v>
      </c>
      <c r="V129" s="379"/>
      <c r="W129" s="379"/>
      <c r="X129" s="1"/>
      <c r="Y129" s="166" t="s">
        <v>6</v>
      </c>
      <c r="Z129" s="166"/>
      <c r="AA129" s="166"/>
      <c r="AB129" s="166" t="s">
        <v>23</v>
      </c>
      <c r="AC129" s="166"/>
      <c r="AD129" s="166"/>
      <c r="AE129" s="26" t="s">
        <v>24</v>
      </c>
    </row>
    <row r="130" spans="2:31" ht="16.5" thickBot="1">
      <c r="B130" s="103"/>
      <c r="C130" s="164"/>
      <c r="D130" s="60"/>
      <c r="E130" s="164"/>
      <c r="F130" s="164"/>
      <c r="G130" s="164"/>
      <c r="H130" s="164"/>
      <c r="I130" s="164"/>
      <c r="J130" s="164"/>
      <c r="K130" s="164"/>
      <c r="L130" s="164"/>
      <c r="M130" s="164"/>
      <c r="N130" s="164"/>
      <c r="O130" s="164"/>
      <c r="P130" s="1"/>
      <c r="T130" s="25"/>
      <c r="U130" s="166"/>
      <c r="V130" s="166"/>
      <c r="W130" s="166"/>
      <c r="X130" s="1"/>
      <c r="Y130" s="166"/>
      <c r="Z130" s="166"/>
      <c r="AA130" s="166"/>
      <c r="AB130" s="166"/>
      <c r="AC130" s="166"/>
      <c r="AD130" s="166"/>
      <c r="AE130" s="26"/>
    </row>
    <row r="131" spans="2:31" ht="15.75" customHeight="1">
      <c r="B131" s="103"/>
      <c r="C131" s="164"/>
      <c r="D131" s="386" t="str">
        <f>IFERROR(IF(AND(AB164=0,AB165=0,AB166=0),"Vous ne pouvez pas bénéficier du fonds de solidarité pour le mois de Décembre 2020",IF(AND(AB166&gt;AB165,AB166&gt;AB164),"Votre entreprise peut bénéficier d'une aide de "&amp;AB166&amp;" €, au titre d'une fermeture Administrative, ou d'une perte d'au moins 50 % ou 70 % du CA pour les activités mentionnées en annexe 1, ou d'une perte d'au moins 70 % du CA pour les activités mentionnées en annexe 2 ou 3",IF(AB165&gt;AB164,"Votre entreprise peut bénéficier d'une aide de "&amp;AB165&amp;"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"&amp;AB164&amp;" €, au titre d'une perte d'au-moins 50 % de votre CA en Décembre 2020"))),"Vous n'avez pas indiqué de chiffre d'affaires de référence")</f>
        <v>Vous ne pouvez pas bénéficier du fonds de solidarité pour le mois de Décembre 2020</v>
      </c>
      <c r="E131" s="387"/>
      <c r="F131" s="387"/>
      <c r="G131" s="387"/>
      <c r="H131" s="387"/>
      <c r="I131" s="387"/>
      <c r="J131" s="387"/>
      <c r="K131" s="387"/>
      <c r="L131" s="387"/>
      <c r="M131" s="387"/>
      <c r="N131" s="387"/>
      <c r="O131" s="388"/>
      <c r="P131" s="1"/>
      <c r="T131" s="378" t="s">
        <v>103</v>
      </c>
      <c r="U131" s="379"/>
      <c r="V131" s="379"/>
      <c r="W131" s="379"/>
      <c r="X131" s="1"/>
      <c r="Y131" s="7">
        <f>'Mon Entreprise'!I81</f>
        <v>0</v>
      </c>
      <c r="Z131" s="133"/>
      <c r="AA131" s="21"/>
      <c r="AB131" s="7">
        <f>IF('Mon Entreprise'!I81-'Mon Entreprise'!M81&lt;0,0,'Mon Entreprise'!I81-'Mon Entreprise'!M81)</f>
        <v>0</v>
      </c>
      <c r="AC131" s="13"/>
      <c r="AD131" s="1"/>
      <c r="AE131" s="27">
        <f>IFERROR(1-'Mon Entreprise'!M81/'Mon Entreprise'!I81,0)</f>
        <v>0</v>
      </c>
    </row>
    <row r="132" spans="2:31" ht="15.75" customHeight="1">
      <c r="B132" s="103"/>
      <c r="C132" s="164"/>
      <c r="D132" s="389"/>
      <c r="E132" s="390"/>
      <c r="F132" s="390"/>
      <c r="G132" s="390"/>
      <c r="H132" s="390"/>
      <c r="I132" s="390"/>
      <c r="J132" s="390"/>
      <c r="K132" s="390"/>
      <c r="L132" s="390"/>
      <c r="M132" s="390"/>
      <c r="N132" s="390"/>
      <c r="O132" s="391"/>
      <c r="P132" s="1"/>
      <c r="T132" s="378" t="s">
        <v>25</v>
      </c>
      <c r="U132" s="379"/>
      <c r="V132" s="379"/>
      <c r="W132" s="379"/>
      <c r="X132" s="1"/>
      <c r="Y132" s="7">
        <f>'Mon Entreprise'!I63</f>
        <v>0</v>
      </c>
      <c r="Z132" s="133"/>
      <c r="AA132" s="21"/>
      <c r="AB132" s="7">
        <f>IF('Mon Entreprise'!I63-'Mon Entreprise'!M81&lt;0,0,'Mon Entreprise'!I63-'Mon Entreprise'!M81)</f>
        <v>0</v>
      </c>
      <c r="AC132" s="36"/>
      <c r="AD132" s="1"/>
      <c r="AE132" s="27">
        <f>IFERROR(1-'Mon Entreprise'!M81/'Mon Entreprise'!I63,0)</f>
        <v>0</v>
      </c>
    </row>
    <row r="133" spans="2:31" ht="15.75" customHeight="1">
      <c r="B133" s="103"/>
      <c r="C133" s="164"/>
      <c r="D133" s="389"/>
      <c r="E133" s="390"/>
      <c r="F133" s="390"/>
      <c r="G133" s="390"/>
      <c r="H133" s="390"/>
      <c r="I133" s="390"/>
      <c r="J133" s="390"/>
      <c r="K133" s="390"/>
      <c r="L133" s="390"/>
      <c r="M133" s="390"/>
      <c r="N133" s="390"/>
      <c r="O133" s="391"/>
      <c r="P133" s="1"/>
      <c r="T133" s="395" t="s">
        <v>22</v>
      </c>
      <c r="U133" s="396"/>
      <c r="V133" s="396"/>
      <c r="W133" s="396"/>
      <c r="X133" s="139"/>
      <c r="Y133" s="140" t="str">
        <f>IF('Mon Entreprise'!I105="","NC",'Mon Entreprise'!I105)</f>
        <v>NC</v>
      </c>
      <c r="Z133" s="193"/>
      <c r="AA133" s="194"/>
      <c r="AB133" s="143" t="str">
        <f>IFERROR(IF('Mon Entreprise'!I105-'Mon Entreprise'!M81&lt;0,0,'Mon Entreprise'!I105-'Mon Entreprise'!M81),"NC")</f>
        <v>NC</v>
      </c>
      <c r="AC133" s="195"/>
      <c r="AD133" s="139"/>
      <c r="AE133" s="146" t="str">
        <f>IFERROR(1-'Mon Entreprise'!M81/'Mon Entreprise'!I105,"NC")</f>
        <v>NC</v>
      </c>
    </row>
    <row r="134" spans="2:31" ht="15.75" customHeight="1">
      <c r="B134" s="103"/>
      <c r="C134" s="164"/>
      <c r="D134" s="389"/>
      <c r="E134" s="390"/>
      <c r="F134" s="390"/>
      <c r="G134" s="390"/>
      <c r="H134" s="390"/>
      <c r="I134" s="390"/>
      <c r="J134" s="390"/>
      <c r="K134" s="390"/>
      <c r="L134" s="390"/>
      <c r="M134" s="390"/>
      <c r="N134" s="390"/>
      <c r="O134" s="391"/>
      <c r="P134" s="1"/>
      <c r="T134" s="14"/>
      <c r="U134" s="1"/>
      <c r="V134" s="1"/>
      <c r="W134" s="1"/>
      <c r="X134" s="1"/>
      <c r="Y134" s="1"/>
      <c r="Z134" s="1"/>
      <c r="AA134" s="1"/>
      <c r="AB134" s="1"/>
      <c r="AC134" s="1"/>
      <c r="AD134" s="1"/>
      <c r="AE134" s="13"/>
    </row>
    <row r="135" spans="2:31" ht="16.5" customHeight="1" thickBot="1">
      <c r="B135" s="103"/>
      <c r="C135" s="164"/>
      <c r="D135" s="392"/>
      <c r="E135" s="393"/>
      <c r="F135" s="393"/>
      <c r="G135" s="393"/>
      <c r="H135" s="393"/>
      <c r="I135" s="393"/>
      <c r="J135" s="393"/>
      <c r="K135" s="393"/>
      <c r="L135" s="393"/>
      <c r="M135" s="393"/>
      <c r="N135" s="393"/>
      <c r="O135" s="394"/>
      <c r="P135" s="1"/>
      <c r="T135" s="14"/>
      <c r="AC135" s="1"/>
      <c r="AD135" s="1"/>
      <c r="AE135" s="13"/>
    </row>
    <row r="136" spans="2:31" ht="15.75">
      <c r="B136" s="103"/>
      <c r="C136" s="164"/>
      <c r="D136" s="60"/>
      <c r="E136" s="164"/>
      <c r="F136" s="164"/>
      <c r="G136" s="164"/>
      <c r="H136" s="164"/>
      <c r="I136" s="164"/>
      <c r="J136" s="164"/>
      <c r="K136" s="164"/>
      <c r="L136" s="164"/>
      <c r="M136" s="164"/>
      <c r="N136" s="164"/>
      <c r="O136" s="164"/>
      <c r="P136" s="1"/>
      <c r="T136" s="14"/>
      <c r="AC136" s="1"/>
      <c r="AD136" s="1"/>
      <c r="AE136" s="13"/>
    </row>
    <row r="137" spans="2:31" ht="15.75" hidden="1">
      <c r="B137" s="103"/>
      <c r="C137" s="78"/>
      <c r="D137" s="78"/>
      <c r="E137" s="78"/>
      <c r="F137" s="78"/>
      <c r="G137" s="78"/>
      <c r="H137" s="78"/>
      <c r="I137" s="78"/>
      <c r="J137" s="78"/>
      <c r="K137" s="78"/>
      <c r="L137" s="78"/>
      <c r="M137" s="78"/>
      <c r="N137" s="78"/>
      <c r="O137" s="78"/>
      <c r="P137" s="1"/>
      <c r="T137" s="14"/>
      <c r="AC137" s="1"/>
      <c r="AD137" s="1"/>
      <c r="AE137" s="13"/>
    </row>
    <row r="138" spans="2:31" ht="15.75" hidden="1">
      <c r="B138" s="103"/>
      <c r="C138" s="164"/>
      <c r="D138" s="60"/>
      <c r="E138" s="164"/>
      <c r="F138" s="164"/>
      <c r="G138" s="164"/>
      <c r="H138" s="164"/>
      <c r="I138" s="164"/>
      <c r="J138" s="164"/>
      <c r="K138" s="164"/>
      <c r="L138" s="164"/>
      <c r="M138" s="164"/>
      <c r="N138" s="164"/>
      <c r="O138" s="164"/>
      <c r="P138" s="1"/>
      <c r="T138" s="14"/>
      <c r="U138" s="1"/>
      <c r="V138" s="1"/>
      <c r="W138" s="1"/>
      <c r="X138" s="1"/>
      <c r="Y138" s="1"/>
      <c r="Z138" s="1"/>
      <c r="AA138" s="1"/>
      <c r="AB138" s="1"/>
      <c r="AC138" s="1"/>
      <c r="AD138" s="1"/>
      <c r="AE138" s="13"/>
    </row>
    <row r="139" spans="2:31" ht="15.75" hidden="1">
      <c r="B139" s="103"/>
      <c r="C139" s="164" t="s">
        <v>104</v>
      </c>
      <c r="D139" s="60"/>
      <c r="E139" s="164"/>
      <c r="F139" s="164"/>
      <c r="G139" s="164"/>
      <c r="H139" s="164"/>
      <c r="I139" s="164"/>
      <c r="J139" s="164"/>
      <c r="K139" s="164"/>
      <c r="L139" s="164"/>
      <c r="M139" s="164"/>
      <c r="N139" s="164"/>
      <c r="O139" s="164"/>
      <c r="P139" s="1"/>
      <c r="T139" s="14"/>
      <c r="U139" s="377" t="s">
        <v>74</v>
      </c>
      <c r="V139" s="377"/>
      <c r="W139" s="377"/>
      <c r="X139" s="377"/>
      <c r="Y139" s="377"/>
      <c r="Z139" s="1"/>
      <c r="AA139" s="14"/>
      <c r="AB139" s="191" t="str">
        <f>IF('Mon Entreprise'!K8&lt;=Annexes!U24,"Oui","Non")</f>
        <v>Oui</v>
      </c>
      <c r="AC139" s="1"/>
      <c r="AD139" s="1"/>
      <c r="AE139" s="13"/>
    </row>
    <row r="140" spans="2:31" ht="15.75" hidden="1">
      <c r="B140" s="169"/>
      <c r="C140" s="164"/>
      <c r="D140" s="60" t="str">
        <f>IFERROR(IF('Mon Entreprise'!K8&gt;=Annexes!S20,IF(AB131&gt;=AB133,"Le CA de référence est celui de Décembre 2019, soit une perte de "&amp;ROUND(AB131,0)&amp;" €"&amp;" ==&gt; "&amp;ROUND(AE131*100,0)&amp;" %","Le CA de référence est celui de la création, soit une perte de "&amp;ROUND(AB133,0)&amp;" €"&amp;" ==&gt; "&amp;ROUND(AE133*100,0)&amp;" %"),IF(AB131&gt;=AB132,"Le CA de référence est celui de Décembre 2019, soit une perte de "&amp;ROUND(AB131,0)&amp;" €"&amp;" ==&gt; "&amp;ROUND(AE131*100,0)&amp;" %","Le CA de référence est celui de de l'exercice 2019, soit une perte de "&amp;ROUND(AB132,0)&amp;" €"&amp;" ==&gt; "&amp;ROUND(AE132*100,0)&amp;" %")),"")</f>
        <v>Le CA de référence est celui de Décembre 2019, soit une perte de 0 € ==&gt; 0 %</v>
      </c>
      <c r="E140" s="164"/>
      <c r="F140" s="164"/>
      <c r="G140" s="164"/>
      <c r="H140" s="164"/>
      <c r="I140" s="164"/>
      <c r="J140" s="164"/>
      <c r="K140" s="164"/>
      <c r="L140" s="164"/>
      <c r="M140" s="164"/>
      <c r="N140" s="164"/>
      <c r="O140" s="164"/>
      <c r="P140" s="1"/>
      <c r="T140" s="14"/>
      <c r="U140" s="377" t="s">
        <v>87</v>
      </c>
      <c r="V140" s="377"/>
      <c r="W140" s="377"/>
      <c r="X140" s="377"/>
      <c r="Y140" s="377"/>
      <c r="Z140" s="1"/>
      <c r="AA140" s="14"/>
      <c r="AB140" s="162">
        <f>IF('Mon Entreprise'!K8&gt;=Annexes!S20,IF(AB131&gt;=AB133,AB131,AB133),IF(AB131&gt;=AB132,AB131,AB132))</f>
        <v>0</v>
      </c>
      <c r="AC140" s="1"/>
      <c r="AD140" s="1"/>
      <c r="AE140" s="13"/>
    </row>
    <row r="141" spans="2:31" ht="16.5" hidden="1" thickBot="1">
      <c r="B141" s="103"/>
      <c r="C141" s="164"/>
      <c r="D141" s="60"/>
      <c r="E141" s="164"/>
      <c r="F141" s="164"/>
      <c r="G141" s="164"/>
      <c r="H141" s="164"/>
      <c r="I141" s="164"/>
      <c r="J141" s="164"/>
      <c r="K141" s="164"/>
      <c r="L141" s="164"/>
      <c r="M141" s="164"/>
      <c r="N141" s="164"/>
      <c r="O141" s="164"/>
      <c r="P141" s="1"/>
      <c r="T141" s="14"/>
      <c r="U141" s="377" t="s">
        <v>88</v>
      </c>
      <c r="V141" s="377"/>
      <c r="W141" s="377"/>
      <c r="X141" s="377"/>
      <c r="Y141" s="377"/>
      <c r="Z141" s="1"/>
      <c r="AA141" s="14"/>
      <c r="AB141" s="19">
        <f>IF('Mon Entreprise'!K8&gt;=Annexes!S20,IF(AB131&gt;=AB133,AE131,AE133),IF(AB131&gt;=AB132,AE131,AE132))</f>
        <v>0</v>
      </c>
      <c r="AC141" s="1"/>
      <c r="AD141" s="1"/>
      <c r="AE141" s="13"/>
    </row>
    <row r="142" spans="2:31" ht="15.75" hidden="1" customHeight="1">
      <c r="B142" s="169"/>
      <c r="C142" s="164"/>
      <c r="D142" s="400" t="str">
        <f>IFERROR(IF(AB139="Non","Vous avez débuté votre activité après le 30 Septembre 2020, vous ne pouvez donc pas bénéficier de cette aide",IF(AB141&gt;=0.5,IF(AB140&gt;Annexes!S5,"Dans votre cas, l'aide est Plafonnée, à "&amp;Annexes!S5&amp;" € pour le mois de Décembre","Vous pouvez bénéficier, au titre de cette aide, d'un montant de "&amp;ROUND(AB140,0)&amp;" € pour le mois de Décembre"),"L'entreprise n'a pas une perte d'au moins 50 % en Décembre 2020")),"Vous n'avez pas indiqué de chiffre d'affaires de référence")</f>
        <v>L'entreprise n'a pas une perte d'au moins 50 % en Décembre 2020</v>
      </c>
      <c r="E142" s="401"/>
      <c r="F142" s="401"/>
      <c r="G142" s="401"/>
      <c r="H142" s="401"/>
      <c r="I142" s="401"/>
      <c r="J142" s="401"/>
      <c r="K142" s="401"/>
      <c r="L142" s="401"/>
      <c r="M142" s="401"/>
      <c r="N142" s="401"/>
      <c r="O142" s="402"/>
      <c r="P142" s="1"/>
      <c r="T142" s="14"/>
      <c r="U142" s="1"/>
      <c r="V142" s="1"/>
      <c r="W142" s="1"/>
      <c r="X142" s="1"/>
      <c r="Y142" s="1"/>
      <c r="Z142" s="1"/>
      <c r="AA142" s="1"/>
      <c r="AB142" s="1"/>
      <c r="AC142" s="1"/>
      <c r="AD142" s="1"/>
      <c r="AE142" s="13"/>
    </row>
    <row r="143" spans="2:31" ht="15.75" hidden="1" customHeight="1">
      <c r="B143" s="169"/>
      <c r="C143" s="164"/>
      <c r="D143" s="403"/>
      <c r="E143" s="404"/>
      <c r="F143" s="404"/>
      <c r="G143" s="404"/>
      <c r="H143" s="404"/>
      <c r="I143" s="404"/>
      <c r="J143" s="404"/>
      <c r="K143" s="404"/>
      <c r="L143" s="404"/>
      <c r="M143" s="404"/>
      <c r="N143" s="404"/>
      <c r="O143" s="405"/>
      <c r="P143" s="1"/>
      <c r="T143" s="14"/>
      <c r="U143" s="1"/>
      <c r="V143" s="1"/>
      <c r="W143" s="1"/>
      <c r="X143" s="1"/>
      <c r="Y143" s="1"/>
      <c r="Z143" s="1"/>
      <c r="AA143" s="1"/>
      <c r="AB143" s="1"/>
      <c r="AC143" s="1"/>
      <c r="AD143" s="1"/>
      <c r="AE143" s="13"/>
    </row>
    <row r="144" spans="2:31" ht="15.75" hidden="1" customHeight="1">
      <c r="B144" s="103"/>
      <c r="C144" s="164"/>
      <c r="D144" s="403"/>
      <c r="E144" s="404"/>
      <c r="F144" s="404"/>
      <c r="G144" s="404"/>
      <c r="H144" s="404"/>
      <c r="I144" s="404"/>
      <c r="J144" s="404"/>
      <c r="K144" s="404"/>
      <c r="L144" s="404"/>
      <c r="M144" s="404"/>
      <c r="N144" s="404"/>
      <c r="O144" s="405"/>
      <c r="P144" s="1"/>
      <c r="T144" s="14"/>
      <c r="U144" s="1"/>
      <c r="V144" s="1"/>
      <c r="W144" s="1"/>
      <c r="X144" s="1"/>
      <c r="Y144" s="1"/>
      <c r="Z144" s="1"/>
      <c r="AA144" s="1"/>
      <c r="AB144" s="1"/>
      <c r="AC144" s="1"/>
      <c r="AD144" s="1"/>
      <c r="AE144" s="13"/>
    </row>
    <row r="145" spans="1:31" ht="16.5" hidden="1" customHeight="1" thickBot="1">
      <c r="B145" s="103"/>
      <c r="C145" s="164"/>
      <c r="D145" s="406"/>
      <c r="E145" s="407"/>
      <c r="F145" s="407"/>
      <c r="G145" s="407"/>
      <c r="H145" s="407"/>
      <c r="I145" s="407"/>
      <c r="J145" s="407"/>
      <c r="K145" s="407"/>
      <c r="L145" s="407"/>
      <c r="M145" s="407"/>
      <c r="N145" s="407"/>
      <c r="O145" s="408"/>
      <c r="P145" s="1"/>
      <c r="T145" s="14"/>
      <c r="U145" s="1"/>
      <c r="V145" s="1"/>
      <c r="W145" s="1"/>
      <c r="X145" s="1"/>
      <c r="Y145" s="1"/>
      <c r="Z145" s="1"/>
      <c r="AA145" s="1"/>
      <c r="AB145" s="1"/>
      <c r="AC145" s="1"/>
      <c r="AD145" s="1"/>
      <c r="AE145" s="13"/>
    </row>
    <row r="146" spans="1:31" ht="16.5" hidden="1" customHeight="1">
      <c r="B146" s="103"/>
      <c r="C146" s="170"/>
      <c r="D146" s="171"/>
      <c r="E146" s="171"/>
      <c r="F146" s="171"/>
      <c r="G146" s="171"/>
      <c r="H146" s="171"/>
      <c r="I146" s="171"/>
      <c r="J146" s="171"/>
      <c r="K146" s="171"/>
      <c r="L146" s="171"/>
      <c r="M146" s="171"/>
      <c r="N146" s="171"/>
      <c r="O146" s="171"/>
      <c r="P146" s="1"/>
      <c r="T146" s="14"/>
      <c r="U146" s="1"/>
      <c r="V146" s="1"/>
      <c r="W146" s="1"/>
      <c r="X146" s="1"/>
      <c r="Y146" s="1"/>
      <c r="Z146" s="1"/>
      <c r="AA146" s="1"/>
      <c r="AB146" s="1"/>
      <c r="AC146" s="1"/>
      <c r="AD146" s="1"/>
      <c r="AE146" s="13"/>
    </row>
    <row r="147" spans="1:31" ht="16.5" hidden="1" customHeight="1">
      <c r="B147" s="103"/>
      <c r="C147" s="164"/>
      <c r="D147" s="167"/>
      <c r="E147" s="167"/>
      <c r="F147" s="167"/>
      <c r="G147" s="167"/>
      <c r="H147" s="167"/>
      <c r="I147" s="167"/>
      <c r="J147" s="167"/>
      <c r="K147" s="167"/>
      <c r="L147" s="167"/>
      <c r="M147" s="167"/>
      <c r="N147" s="167"/>
      <c r="O147" s="167"/>
      <c r="P147" s="1"/>
      <c r="T147" s="411" t="s">
        <v>4</v>
      </c>
      <c r="U147" s="412"/>
      <c r="V147" s="412"/>
      <c r="W147" s="412"/>
      <c r="X147" s="412"/>
      <c r="Y147" s="412"/>
      <c r="Z147" s="139"/>
      <c r="AA147" s="145"/>
      <c r="AB147" s="196">
        <f>IFERROR(IF('Mon Entreprise'!K8&lt;Annexes!U14,IF('Mon Entreprise'!K8&lt;Annexes!S17,IF(IFERROR(1-'Mon Entreprise'!M83/'Mon Entreprise'!I83,0)&gt;=IFERROR(1-'Mon Entreprise'!M83/('Mon Entreprise'!I63*2),0),1-'Mon Entreprise'!M83/'Mon Entreprise'!I83,1-'Mon Entreprise'!M83/('Mon Entreprise'!I63*2)),1-'Mon Entreprise'!M83/'Mon Entreprise'!I126),0),0)</f>
        <v>0</v>
      </c>
      <c r="AC147" s="1"/>
      <c r="AD147" s="1"/>
      <c r="AE147" s="13"/>
    </row>
    <row r="148" spans="1:31" ht="16.5" hidden="1" customHeight="1">
      <c r="B148" s="103"/>
      <c r="C148" s="413" t="s">
        <v>119</v>
      </c>
      <c r="D148" s="413"/>
      <c r="E148" s="413"/>
      <c r="F148" s="413"/>
      <c r="G148" s="413"/>
      <c r="H148" s="413"/>
      <c r="I148" s="413"/>
      <c r="J148" s="413"/>
      <c r="K148" s="413"/>
      <c r="L148" s="413"/>
      <c r="M148" s="413"/>
      <c r="N148" s="413"/>
      <c r="O148" s="413"/>
      <c r="P148" s="1"/>
      <c r="T148" s="110"/>
      <c r="U148" s="399" t="s">
        <v>107</v>
      </c>
      <c r="V148" s="399"/>
      <c r="W148" s="399"/>
      <c r="X148" s="399"/>
      <c r="Y148" s="399"/>
      <c r="Z148" s="139"/>
      <c r="AA148" s="145"/>
      <c r="AB148" s="196">
        <f>IFERROR(IF('Mon Entreprise'!K8&lt;Annexes!U14,AB104,1-'Mon Entreprise'!M79/'Mon Entreprise'!I130),0)</f>
        <v>0</v>
      </c>
      <c r="AC148" s="1"/>
      <c r="AD148" s="1"/>
      <c r="AE148" s="13"/>
    </row>
    <row r="149" spans="1:31" ht="16.5" hidden="1" customHeight="1">
      <c r="B149" s="103"/>
      <c r="C149" s="413"/>
      <c r="D149" s="413"/>
      <c r="E149" s="413"/>
      <c r="F149" s="413"/>
      <c r="G149" s="413"/>
      <c r="H149" s="413"/>
      <c r="I149" s="413"/>
      <c r="J149" s="413"/>
      <c r="K149" s="413"/>
      <c r="L149" s="413"/>
      <c r="M149" s="413"/>
      <c r="N149" s="413"/>
      <c r="O149" s="413"/>
      <c r="P149" s="1"/>
      <c r="T149" s="110"/>
      <c r="U149" s="399" t="s">
        <v>116</v>
      </c>
      <c r="V149" s="399"/>
      <c r="W149" s="399"/>
      <c r="X149" s="399"/>
      <c r="Y149" s="399"/>
      <c r="Z149" s="139"/>
      <c r="AA149" s="145"/>
      <c r="AB149" s="196">
        <f>IFERROR(IF(Annexes!S27&gt;'Mon Entreprise'!K8,1-'Mon Entreprise'!M63/'Mon Entreprise'!I63,""),0)</f>
        <v>0</v>
      </c>
      <c r="AC149" s="1"/>
      <c r="AD149" s="1"/>
      <c r="AE149" s="13"/>
    </row>
    <row r="150" spans="1:31" ht="16.5" hidden="1" customHeight="1">
      <c r="B150" s="103"/>
      <c r="C150" s="413"/>
      <c r="D150" s="413"/>
      <c r="E150" s="413"/>
      <c r="F150" s="413"/>
      <c r="G150" s="413"/>
      <c r="H150" s="413"/>
      <c r="I150" s="413"/>
      <c r="J150" s="413"/>
      <c r="K150" s="413"/>
      <c r="L150" s="413"/>
      <c r="M150" s="413"/>
      <c r="N150" s="413"/>
      <c r="O150" s="413"/>
      <c r="P150" s="1"/>
      <c r="T150" s="14"/>
      <c r="U150" s="397" t="s">
        <v>8</v>
      </c>
      <c r="V150" s="397"/>
      <c r="W150" s="397"/>
      <c r="X150" s="397"/>
      <c r="Y150" s="397"/>
      <c r="Z150" s="1"/>
      <c r="AA150" s="14"/>
      <c r="AB150" s="179" t="str">
        <f>IF((AND(Annexes!F5&gt;1,Annexes!F5&lt;=Annexes!H6)),"OUI","NON")</f>
        <v>NON</v>
      </c>
      <c r="AC150" s="1"/>
      <c r="AD150" s="1"/>
      <c r="AE150" s="13"/>
    </row>
    <row r="151" spans="1:31" ht="16.5" hidden="1" customHeight="1">
      <c r="B151" s="103"/>
      <c r="C151" s="164"/>
      <c r="D151" s="167"/>
      <c r="E151" s="301" t="str">
        <f>IF('Mon Entreprise'!K8&gt;Annexes!U24,"",IF(OR(AB150="OUI",AND(AB151="OUI",OR(AB147&gt;=Annexes!T5,AB148&gt;=Annexes!T5,'Mes Aides'!AB149&gt;=0.1)),AB152=TRUE),"",IF(AND(AB151="OUI",OR(AB147&lt;Annexes!T5,AB148&lt;Annexes!T5,'Mes Aides'!AB149&lt;0.1)),"L'entreprise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51" s="301"/>
      <c r="G151" s="301"/>
      <c r="H151" s="301"/>
      <c r="I151" s="301"/>
      <c r="J151" s="301"/>
      <c r="K151" s="301"/>
      <c r="L151" s="301"/>
      <c r="M151" s="301"/>
      <c r="N151" s="301"/>
      <c r="O151" s="301"/>
      <c r="P151" s="1"/>
      <c r="T151" s="14"/>
      <c r="U151" s="379" t="s">
        <v>120</v>
      </c>
      <c r="V151" s="379"/>
      <c r="W151" s="379"/>
      <c r="X151" s="379"/>
      <c r="Y151" s="379"/>
      <c r="Z151" s="1"/>
      <c r="AA151" s="14"/>
      <c r="AB151" s="179" t="str">
        <f>IF(OR(Annexes!M13=TRUE,AND(Annexes!F7&gt;1,Annexes!F7&lt;=Annexes!H8)),"OUI","NON")</f>
        <v>NON</v>
      </c>
      <c r="AC151" s="1"/>
      <c r="AD151" s="1"/>
      <c r="AE151" s="13"/>
    </row>
    <row r="152" spans="1:31" ht="16.5" hidden="1" customHeight="1">
      <c r="B152" s="169"/>
      <c r="C152" s="164"/>
      <c r="D152" s="167"/>
      <c r="E152" s="301"/>
      <c r="F152" s="301"/>
      <c r="G152" s="301"/>
      <c r="H152" s="301"/>
      <c r="I152" s="301"/>
      <c r="J152" s="301"/>
      <c r="K152" s="301"/>
      <c r="L152" s="301"/>
      <c r="M152" s="301"/>
      <c r="N152" s="301"/>
      <c r="O152" s="301"/>
      <c r="P152" s="1"/>
      <c r="T152" s="14"/>
      <c r="U152" s="379" t="s">
        <v>12</v>
      </c>
      <c r="V152" s="379"/>
      <c r="W152" s="379"/>
      <c r="X152" s="379"/>
      <c r="Y152" s="379"/>
      <c r="Z152" s="1"/>
      <c r="AA152" s="14"/>
      <c r="AB152" s="179" t="b">
        <f>Annexes!M11</f>
        <v>0</v>
      </c>
      <c r="AC152" s="1"/>
      <c r="AD152" s="1"/>
      <c r="AE152" s="13"/>
    </row>
    <row r="153" spans="1:31" ht="16.5" hidden="1" customHeight="1">
      <c r="A153" s="99"/>
      <c r="B153" s="103"/>
      <c r="C153" s="164"/>
      <c r="D153" s="384" t="str">
        <f>IFERROR(IF('Mon Entreprise'!K8&gt;=Annexes!S20,IF(AB131&gt;=AB133,"- Le CA de référence est celui de Décembre 2019, soit une perte de "&amp;ROUND(AB131,0)&amp;" €"&amp;" ==&gt; "&amp;ROUND(AE131*100,0)&amp;" %","- Le CA de référence est celui de la création, soit une perte de "&amp;ROUND(AB133,0)&amp;" €"&amp;" ==&gt; "&amp;ROUND(AE133*100,0)&amp;" %"),IF(AB131&gt;=AB132,"- Le CA de référence est celui de Décembre 2019, soit une perte de "&amp;ROUND(AB131,0)&amp;" €"&amp;" ==&gt; "&amp;ROUND(AE131*100,0)&amp;" %","- Le CA de référence est celui de l'exercice 2019, soit une perte de "&amp;ROUND(AB132,0)&amp;" €"&amp;" ==&gt; "&amp;ROUND(AE132*100,0)&amp;" %")),"")</f>
        <v>- Le CA de référence est celui de Décembre 2019, soit une perte de 0 € ==&gt; 0 %</v>
      </c>
      <c r="E153" s="384"/>
      <c r="F153" s="384"/>
      <c r="G153" s="384"/>
      <c r="H153" s="384"/>
      <c r="I153" s="384"/>
      <c r="J153" s="384"/>
      <c r="K153" s="384"/>
      <c r="L153" s="384"/>
      <c r="M153" s="384"/>
      <c r="N153" s="384"/>
      <c r="O153" s="384"/>
      <c r="P153" s="1"/>
      <c r="T153" s="14"/>
      <c r="U153" s="410" t="s">
        <v>74</v>
      </c>
      <c r="V153" s="410"/>
      <c r="W153" s="410"/>
      <c r="X153" s="410"/>
      <c r="Y153" s="410"/>
      <c r="Z153" s="139"/>
      <c r="AA153" s="145"/>
      <c r="AB153" s="191" t="str">
        <f>IF('Mon Entreprise'!K8&lt;=Annexes!U24,"Oui","Non")</f>
        <v>Oui</v>
      </c>
      <c r="AC153" s="139"/>
      <c r="AD153" s="1"/>
      <c r="AE153" s="13"/>
    </row>
    <row r="154" spans="1:31" ht="16.5" hidden="1" customHeight="1">
      <c r="B154" s="103"/>
      <c r="C154" s="164"/>
      <c r="D154" s="173" t="str">
        <f>IF(OR(AB150="OUI",AB152=TRUE),"- Sans ticket modérateur",IF(AND(AB151="OUI",OR(AB147&gt;=0.8,AB148&gt;=0.8,AB149&gt;=0.1)),"- La Perte de référence est plafonnée à 80 %, soit "&amp;ROUND(AB158,0)&amp;" €","- Sans ticket modérateur"))</f>
        <v>- Sans ticket modérateur</v>
      </c>
      <c r="E154" s="172"/>
      <c r="F154" s="172"/>
      <c r="G154" s="172"/>
      <c r="H154" s="172"/>
      <c r="I154" s="172"/>
      <c r="J154" s="172"/>
      <c r="K154" s="172"/>
      <c r="L154" s="172"/>
      <c r="M154" s="172"/>
      <c r="N154" s="172"/>
      <c r="O154" s="172"/>
      <c r="P154" s="1"/>
      <c r="T154" s="14"/>
      <c r="U154" s="410" t="s">
        <v>87</v>
      </c>
      <c r="V154" s="410"/>
      <c r="W154" s="410"/>
      <c r="X154" s="410"/>
      <c r="Y154" s="410"/>
      <c r="Z154" s="139"/>
      <c r="AA154" s="145"/>
      <c r="AB154" s="191">
        <f>IF('Mon Entreprise'!K8&gt;=Annexes!S20,IF(AB131&gt;=AB133,AB131,AB133),IF(AB131&gt;=AB132,AB131,AB132))</f>
        <v>0</v>
      </c>
      <c r="AC154" s="139"/>
      <c r="AD154" s="1"/>
      <c r="AE154" s="13"/>
    </row>
    <row r="155" spans="1:31" ht="16.5" hidden="1" customHeight="1" thickBot="1">
      <c r="B155" s="103"/>
      <c r="C155" s="164"/>
      <c r="D155" s="172"/>
      <c r="E155" s="172"/>
      <c r="F155" s="172"/>
      <c r="G155" s="172"/>
      <c r="H155" s="172"/>
      <c r="I155" s="172"/>
      <c r="J155" s="172"/>
      <c r="K155" s="172"/>
      <c r="L155" s="172"/>
      <c r="M155" s="172"/>
      <c r="N155" s="172"/>
      <c r="O155" s="172"/>
      <c r="P155" s="1"/>
      <c r="T155" s="14"/>
      <c r="U155" s="410" t="s">
        <v>88</v>
      </c>
      <c r="V155" s="410"/>
      <c r="W155" s="410"/>
      <c r="X155" s="410"/>
      <c r="Y155" s="410"/>
      <c r="Z155" s="139"/>
      <c r="AA155" s="145"/>
      <c r="AB155" s="191">
        <f>IF('Mon Entreprise'!K8&gt;=Annexes!S20,IF(AB131&gt;=AB133,AE131,AE133),IF(AB131&gt;=AB132,AE131,AE132))</f>
        <v>0</v>
      </c>
      <c r="AC155" s="139"/>
      <c r="AD155" s="1"/>
      <c r="AE155" s="13"/>
    </row>
    <row r="156" spans="1:31" ht="16.5" hidden="1" customHeight="1">
      <c r="B156" s="103"/>
      <c r="C156" s="164"/>
      <c r="D156" s="400" t="str">
        <f>IFERROR(IF('Mon Entreprise'!K8&gt;Annexes!U24,"Vous avez débuté votre activité après le 30 Septembre 2020, vous ne pouvez donc pas bénéficier de cette aide",IF(AB152=TRUE,IF(AB158&gt;Annexes!S6,"Dans votre cas, l'aide est Plafonnée, à "&amp;Annexes!S6&amp;" € pour le mois de Décembre","Vous pouvez bénéficier, au titre de cette aide, d'un montant de "&amp;ROUND(AB158,0)&amp;" € pour le mois de Décembre"),IF(AB155&gt;=0.5,IF(OR(AB150="OUI",AND(AB151="OUI",OR(AB147&gt;=Annexes!T5,AB148&gt;=Annexes!T5,AB149&gt;=0.1))),IF(AB158&gt;Annexes!S6,"Dans votre cas, l'aide est Plafonnée, à "&amp;Annexes!S6&amp;" € pour le mois de Décembre","Vous pouvez bénéficier, au titre de cette aide, d'un montant de "&amp;ROUND(AB158,0)&amp;" € pour le mois de Décembre"),IF(AND(AB151="OUI",OR(AB147&lt;Annexes!T5,AB148&lt;Annexes!T5,AB149&lt;0.1)),"L'entreprise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6" s="401"/>
      <c r="F156" s="401"/>
      <c r="G156" s="401"/>
      <c r="H156" s="401"/>
      <c r="I156" s="401"/>
      <c r="J156" s="401"/>
      <c r="K156" s="401"/>
      <c r="L156" s="401"/>
      <c r="M156" s="401"/>
      <c r="N156" s="401"/>
      <c r="O156" s="402"/>
      <c r="P156" s="1"/>
      <c r="T156" s="14"/>
      <c r="U156" s="396" t="s">
        <v>76</v>
      </c>
      <c r="V156" s="396"/>
      <c r="W156" s="396"/>
      <c r="X156" s="396"/>
      <c r="Y156" s="396"/>
      <c r="Z156" s="139"/>
      <c r="AA156" s="145"/>
      <c r="AB156" s="191">
        <f>IF(OR(AB150="OUI",AB152=TRUE),1,IF(AND(AB151="OUI",OR(AB147&gt;=0.8,AB148&gt;=0.8)),0.8,1))</f>
        <v>1</v>
      </c>
      <c r="AC156" s="139"/>
      <c r="AD156" s="1"/>
      <c r="AE156" s="13"/>
    </row>
    <row r="157" spans="1:31" ht="16.5" hidden="1" customHeight="1">
      <c r="B157" s="174"/>
      <c r="C157" s="164"/>
      <c r="D157" s="403"/>
      <c r="E157" s="404"/>
      <c r="F157" s="404"/>
      <c r="G157" s="404"/>
      <c r="H157" s="404"/>
      <c r="I157" s="404"/>
      <c r="J157" s="404"/>
      <c r="K157" s="404"/>
      <c r="L157" s="404"/>
      <c r="M157" s="404"/>
      <c r="N157" s="404"/>
      <c r="O157" s="405"/>
      <c r="P157" s="1"/>
      <c r="T157" s="14"/>
      <c r="U157" s="396" t="s">
        <v>83</v>
      </c>
      <c r="V157" s="396"/>
      <c r="W157" s="396"/>
      <c r="X157" s="396"/>
      <c r="Y157" s="396"/>
      <c r="Z157" s="139"/>
      <c r="AA157" s="145"/>
      <c r="AB157" s="191">
        <f>IF('Mon Entreprise'!K8&gt;=Annexes!S20,IF(AB131&gt;=AB133,Y131,Y133),IF(AB131&gt;=AB132,Y131,Y132))</f>
        <v>0</v>
      </c>
      <c r="AC157" s="139"/>
      <c r="AD157" s="1"/>
      <c r="AE157" s="13"/>
    </row>
    <row r="158" spans="1:31" ht="16.5" hidden="1" customHeight="1">
      <c r="B158" s="103"/>
      <c r="C158" s="164"/>
      <c r="D158" s="403"/>
      <c r="E158" s="404"/>
      <c r="F158" s="404"/>
      <c r="G158" s="404"/>
      <c r="H158" s="404"/>
      <c r="I158" s="404"/>
      <c r="J158" s="404"/>
      <c r="K158" s="404"/>
      <c r="L158" s="404"/>
      <c r="M158" s="404"/>
      <c r="N158" s="404"/>
      <c r="O158" s="405"/>
      <c r="P158" s="1"/>
      <c r="T158" s="14"/>
      <c r="U158" s="379" t="s">
        <v>109</v>
      </c>
      <c r="V158" s="379"/>
      <c r="W158" s="379"/>
      <c r="X158" s="379"/>
      <c r="Y158" s="379"/>
      <c r="Z158" s="1"/>
      <c r="AA158" s="14"/>
      <c r="AB158" s="179">
        <f>IF(AB156=1,AB154,IF(AB154*AB156&gt;1500,IF(AB154&gt;1500,AB154*AB156,"Impossible"),IF(AB154&lt;1500,AB154,1500)))</f>
        <v>0</v>
      </c>
      <c r="AC158" s="1"/>
      <c r="AD158" s="1"/>
      <c r="AE158" s="13"/>
    </row>
    <row r="159" spans="1:31" ht="16.5" hidden="1" customHeight="1" thickBot="1">
      <c r="B159" s="103"/>
      <c r="C159" s="164"/>
      <c r="D159" s="406"/>
      <c r="E159" s="407"/>
      <c r="F159" s="407"/>
      <c r="G159" s="407"/>
      <c r="H159" s="407"/>
      <c r="I159" s="407"/>
      <c r="J159" s="407"/>
      <c r="K159" s="407"/>
      <c r="L159" s="407"/>
      <c r="M159" s="407"/>
      <c r="N159" s="407"/>
      <c r="O159" s="408"/>
      <c r="P159" s="1"/>
      <c r="T159" s="14"/>
      <c r="U159" s="162"/>
      <c r="V159" s="162"/>
      <c r="W159" s="162"/>
      <c r="X159" s="162"/>
      <c r="Y159" s="162"/>
      <c r="Z159" s="1"/>
      <c r="AA159" s="1"/>
      <c r="AB159" s="1"/>
      <c r="AC159" s="1"/>
      <c r="AD159" s="1"/>
      <c r="AE159" s="13"/>
    </row>
    <row r="160" spans="1:31" ht="16.5" hidden="1" customHeight="1">
      <c r="B160" s="103"/>
      <c r="C160" s="170"/>
      <c r="D160" s="175"/>
      <c r="E160" s="175"/>
      <c r="F160" s="175"/>
      <c r="G160" s="175"/>
      <c r="H160" s="175"/>
      <c r="I160" s="175"/>
      <c r="J160" s="175"/>
      <c r="K160" s="175"/>
      <c r="L160" s="175"/>
      <c r="M160" s="175"/>
      <c r="N160" s="175"/>
      <c r="O160" s="175"/>
      <c r="P160" s="1"/>
      <c r="T160" s="14"/>
      <c r="U160" s="379"/>
      <c r="V160" s="379"/>
      <c r="W160" s="379"/>
      <c r="X160" s="379"/>
      <c r="Y160" s="379"/>
      <c r="Z160" s="1"/>
      <c r="AA160" s="1"/>
      <c r="AB160" s="1"/>
      <c r="AC160" s="1"/>
      <c r="AD160" s="1"/>
      <c r="AE160" s="13"/>
    </row>
    <row r="161" spans="2:31" ht="16.5" hidden="1" customHeight="1">
      <c r="B161" s="103"/>
      <c r="C161" s="164"/>
      <c r="D161" s="172"/>
      <c r="E161" s="172"/>
      <c r="F161" s="172"/>
      <c r="G161" s="172"/>
      <c r="H161" s="172"/>
      <c r="I161" s="172"/>
      <c r="J161" s="172"/>
      <c r="K161" s="172"/>
      <c r="L161" s="172"/>
      <c r="M161" s="172"/>
      <c r="N161" s="172"/>
      <c r="O161" s="172"/>
      <c r="P161" s="1"/>
      <c r="T161" s="14"/>
      <c r="U161" s="162"/>
      <c r="V161" s="162"/>
      <c r="W161" s="162"/>
      <c r="X161" s="162"/>
      <c r="Y161" s="162"/>
      <c r="Z161" s="1"/>
      <c r="AA161" s="1"/>
      <c r="AB161" s="1"/>
      <c r="AC161" s="1"/>
      <c r="AD161" s="1"/>
      <c r="AE161" s="13"/>
    </row>
    <row r="162" spans="2:31" ht="16.5" hidden="1" customHeight="1">
      <c r="B162" s="103"/>
      <c r="C162" s="398" t="s">
        <v>121</v>
      </c>
      <c r="D162" s="398"/>
      <c r="E162" s="398"/>
      <c r="F162" s="398"/>
      <c r="G162" s="398"/>
      <c r="H162" s="398"/>
      <c r="I162" s="398"/>
      <c r="J162" s="398"/>
      <c r="K162" s="398"/>
      <c r="L162" s="398"/>
      <c r="M162" s="398"/>
      <c r="N162" s="398"/>
      <c r="O162" s="398"/>
      <c r="P162" s="1"/>
      <c r="T162" s="14"/>
      <c r="U162" s="1"/>
      <c r="V162" s="1"/>
      <c r="W162" s="1"/>
      <c r="X162" s="1"/>
      <c r="Y162" s="1"/>
      <c r="Z162" s="1"/>
      <c r="AA162" s="1"/>
      <c r="AB162" s="1"/>
      <c r="AC162" s="1"/>
      <c r="AD162" s="1"/>
      <c r="AE162" s="13"/>
    </row>
    <row r="163" spans="2:31" ht="16.5" hidden="1" customHeight="1">
      <c r="B163" s="103"/>
      <c r="C163" s="398"/>
      <c r="D163" s="398"/>
      <c r="E163" s="398"/>
      <c r="F163" s="398"/>
      <c r="G163" s="398"/>
      <c r="H163" s="398"/>
      <c r="I163" s="398"/>
      <c r="J163" s="398"/>
      <c r="K163" s="398"/>
      <c r="L163" s="398"/>
      <c r="M163" s="398"/>
      <c r="N163" s="398"/>
      <c r="O163" s="398"/>
      <c r="P163" s="1"/>
      <c r="T163" s="14"/>
      <c r="U163" s="1"/>
      <c r="V163" s="1"/>
      <c r="W163" s="1"/>
      <c r="X163" s="1"/>
      <c r="Y163" s="1"/>
      <c r="Z163" s="1"/>
      <c r="AA163" s="1"/>
      <c r="AB163" s="1"/>
      <c r="AC163" s="1"/>
      <c r="AD163" s="1"/>
      <c r="AE163" s="13"/>
    </row>
    <row r="164" spans="2:31" ht="16.5" hidden="1" customHeight="1">
      <c r="B164" s="174"/>
      <c r="C164" s="398"/>
      <c r="D164" s="398"/>
      <c r="E164" s="398"/>
      <c r="F164" s="398"/>
      <c r="G164" s="398"/>
      <c r="H164" s="398"/>
      <c r="I164" s="398"/>
      <c r="J164" s="398"/>
      <c r="K164" s="398"/>
      <c r="L164" s="398"/>
      <c r="M164" s="398"/>
      <c r="N164" s="398"/>
      <c r="O164" s="398"/>
      <c r="P164" s="1"/>
      <c r="T164" s="14"/>
      <c r="U164" s="396" t="s">
        <v>85</v>
      </c>
      <c r="V164" s="396"/>
      <c r="W164" s="396"/>
      <c r="X164" s="396"/>
      <c r="Y164" s="396"/>
      <c r="Z164" s="68"/>
      <c r="AA164" s="1"/>
      <c r="AB164" s="1">
        <f>IFERROR(IF(AB139="Non",0,IF(AB141&gt;=0.5,IF(AB140&gt;Annexes!S5,Annexes!S5,ROUND(AB140,0)),0)),0)</f>
        <v>0</v>
      </c>
      <c r="AC164" s="1"/>
      <c r="AD164" s="1"/>
      <c r="AE164" s="13"/>
    </row>
    <row r="165" spans="2:31" ht="16.5" hidden="1" customHeight="1">
      <c r="B165" s="174"/>
      <c r="C165" s="164"/>
      <c r="D165" s="167"/>
      <c r="E165" s="301" t="str">
        <f>IF('Mon Entreprise'!K8&gt;Annexes!U24,"",IF(OR(AB150="OUI",AND(AB151="OUI",OR(AB147&gt;=Annexes!T5,AB148&gt;=Annexes!T5,'Mes Aides'!AB149&gt;=0.1)),AB152=TRUE),"",IF(AND(AB151="OUI",OR(AB147&lt;Annexes!T5,AB148&lt;Annexes!T5,'Mes Aides'!AB149&lt;0.1)),"L'entreprise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5" s="301"/>
      <c r="G165" s="301"/>
      <c r="H165" s="301"/>
      <c r="I165" s="301"/>
      <c r="J165" s="301"/>
      <c r="K165" s="301"/>
      <c r="L165" s="301"/>
      <c r="M165" s="301"/>
      <c r="N165" s="301"/>
      <c r="O165" s="301"/>
      <c r="P165" s="1"/>
      <c r="T165" s="14"/>
      <c r="U165" s="396" t="s">
        <v>84</v>
      </c>
      <c r="V165" s="396"/>
      <c r="W165" s="396"/>
      <c r="X165" s="396"/>
      <c r="Y165" s="396"/>
      <c r="Z165" s="68"/>
      <c r="AA165" s="1"/>
      <c r="AB165" s="1">
        <f>IFERROR(IF('Mon Entreprise'!K8&gt;Annexes!U24,0,IF(AB152=TRUE,IF(AB158&gt;Annexes!S6,Annexes!S6,ROUND(AB158,0)),IF(AB155&gt;=0.5,IF(OR(AB150="OUI",AND(AB151="OUI",OR(AB147&gt;=Annexes!T5,AB148&gt;=Annexes!T5))),IF(AB158&gt;Annexes!S6,Annexes!S6,ROUND(AB158,0)),IF(AND(AB151="OUI",OR(AB147&lt;Annexes!T5,AB148&lt;Annexes!T5)),0,0)),0))),0)</f>
        <v>0</v>
      </c>
      <c r="AC165" s="1"/>
      <c r="AD165" s="1"/>
      <c r="AE165" s="13"/>
    </row>
    <row r="166" spans="2:31" ht="16.5" hidden="1" customHeight="1">
      <c r="B166" s="174"/>
      <c r="C166" s="164"/>
      <c r="D166" s="167"/>
      <c r="E166" s="301"/>
      <c r="F166" s="301"/>
      <c r="G166" s="301"/>
      <c r="H166" s="301"/>
      <c r="I166" s="301"/>
      <c r="J166" s="301"/>
      <c r="K166" s="301"/>
      <c r="L166" s="301"/>
      <c r="M166" s="301"/>
      <c r="N166" s="301"/>
      <c r="O166" s="301"/>
      <c r="P166" s="1"/>
      <c r="T166" s="14"/>
      <c r="U166" s="396" t="s">
        <v>106</v>
      </c>
      <c r="V166" s="396"/>
      <c r="W166" s="396"/>
      <c r="X166" s="396"/>
      <c r="Y166" s="396"/>
      <c r="Z166" s="68"/>
      <c r="AA166" s="1"/>
      <c r="AB166" s="1">
        <f>IFERROR(IF('Mon Entreprise'!K8&gt;Annexes!U24,0,IF(AB152=TRUE,IF(AB157=0,0,IF(AB154&lt;AB157*0.2,ROUND(AB154,0),IF(AB157*0.2&gt;=200000,Annexes!S8,ROUND(AB157*0.2,0)))),IF(AB150="OUI",IF(AB155&gt;=0.7,IF(AB154&lt;AB157*0.2,ROUND(AB154,0),IF(AB157*0.2&gt;=200000,Annexes!S8,ROUND(AB157*0.2,0))),IF(AB155&gt;=0.5,IF(AB154&lt;AB157*0.15,ROUND(AB154,0),IF(AB157*0.15&gt;=200000,Annexes!S8,ROUND(AB157*0.15,0))),IF(AND(AB151="OUI",OR(AB147&gt;=0.8,AB148&gt;=0.8,AB149&gt;=0.1),AB155&gt;=0.7),IF(AB154&lt;AB157*0.2,ROUND(AB154,0),IF(AB157*0.2&gt;=200000,Annexes!S8,ROUND(AB157*0.2,0))),0))),IF(AND(AB151="OUI",OR(AB147&gt;=0.8,AB148&gt;=0.8,AB149&gt;=0.1),AB155&gt;=0.7),IF(AB154&lt;AB157*0.2,ROUND(AB154,0),IF(AB157*0.2&gt;=200000,Annexes!S8,ROUND(AB157*0.2,0))),0)))),0)</f>
        <v>0</v>
      </c>
      <c r="AC166" s="1"/>
      <c r="AD166" s="1"/>
      <c r="AE166" s="13"/>
    </row>
    <row r="167" spans="2:31" ht="16.5" hidden="1" customHeight="1">
      <c r="B167" s="174"/>
      <c r="C167" s="164"/>
      <c r="D167" s="301" t="str">
        <f>IFERROR(IF('Mon Entreprise'!K8&gt;=Annexes!S20,IF(AB131&gt;=AB133,"- Le CA de référence est celui de Décembre 2019, soit une perte de "&amp;ROUND(AB131,0)&amp;" €"&amp;" ==&gt; "&amp;ROUND(AE131*100,0)&amp;" %","- Le CA de référence est celui de la création, soit une perte de "&amp;ROUND(AB133,0)&amp;" €"&amp;" ==&gt; "&amp;ROUND(AE133*100,0)&amp;" %"),IF(AB131&gt;=AB132,"- Le CA de référence est celui de Décembre 2019, soit une perte de "&amp;ROUND(AB131,0)&amp;" €"&amp;" ==&gt; "&amp;ROUND(AE131*100,0)&amp;" %","- Le CA de référence est celui de l'exercice 2019, soit une perte de "&amp;ROUND(AB132,0)&amp;" €"&amp;" ==&gt; "&amp;ROUND(AE132*100,0)&amp;" %")),"")</f>
        <v>- Le CA de référence est celui de Décembre 2019, soit une perte de 0 € ==&gt; 0 %</v>
      </c>
      <c r="E167" s="301"/>
      <c r="F167" s="301"/>
      <c r="G167" s="301"/>
      <c r="H167" s="301"/>
      <c r="I167" s="301"/>
      <c r="J167" s="301"/>
      <c r="K167" s="301"/>
      <c r="L167" s="301"/>
      <c r="M167" s="301"/>
      <c r="N167" s="301"/>
      <c r="O167" s="301"/>
      <c r="P167" s="172"/>
      <c r="Q167" s="172"/>
      <c r="T167" s="14"/>
      <c r="U167" s="1"/>
      <c r="V167" s="1"/>
      <c r="W167" s="1"/>
      <c r="X167" s="1"/>
      <c r="Y167" s="1"/>
      <c r="Z167" s="1"/>
      <c r="AA167" s="1"/>
      <c r="AB167" s="1"/>
      <c r="AC167" s="1"/>
      <c r="AD167" s="1"/>
      <c r="AE167" s="13"/>
    </row>
    <row r="168" spans="2:31" ht="16.5" hidden="1" customHeight="1">
      <c r="B168" s="103"/>
      <c r="C168" s="164"/>
      <c r="D168" s="384" t="str">
        <f>IF(AB152=TRUE,"- L'entreprise peut bénéficier d'une aide de 20 % du CA de référence, plafonnée à 200 000 €",IF(AB150="OUI",IF(AB155&gt;=0.7,"- L'entreprise peut bénéficier d'une aide de 20 % du CA de référence, plafonnée à 200 000 €",IF(AB155&gt;=0.5,"- L'entreprise peut bénéficier d'une aide de 15 % du CA de référence, plafonnée à 200 000 €","- L'entreprise n'a subi ni de fermeture administrative au mois de Décembre, ni de perte d'au moins 50 % de son CA")),IF(AND(AB151="OUI",OR(AB147&gt;=0.8,AB148&gt;=0.8,AB149&gt;=0.1),AB155&gt;=0.7),"-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8" s="384"/>
      <c r="F168" s="384"/>
      <c r="G168" s="384"/>
      <c r="H168" s="384"/>
      <c r="I168" s="384"/>
      <c r="J168" s="384"/>
      <c r="K168" s="384"/>
      <c r="L168" s="384"/>
      <c r="M168" s="384"/>
      <c r="N168" s="384"/>
      <c r="O168" s="384"/>
      <c r="P168" s="172"/>
      <c r="Q168" s="172"/>
      <c r="T168" s="14"/>
      <c r="U168" s="1"/>
      <c r="V168" s="1"/>
      <c r="W168" s="1"/>
      <c r="X168" s="1"/>
      <c r="Y168" s="1"/>
      <c r="Z168" s="1"/>
      <c r="AA168" s="1"/>
      <c r="AB168" s="1"/>
      <c r="AC168" s="1"/>
      <c r="AD168" s="1"/>
      <c r="AE168" s="13"/>
    </row>
    <row r="169" spans="2:31" ht="16.5" hidden="1" customHeight="1">
      <c r="B169" s="169"/>
      <c r="C169" s="164"/>
      <c r="D169" s="384"/>
      <c r="E169" s="384"/>
      <c r="F169" s="384"/>
      <c r="G169" s="384"/>
      <c r="H169" s="384"/>
      <c r="I169" s="384"/>
      <c r="J169" s="384"/>
      <c r="K169" s="384"/>
      <c r="L169" s="384"/>
      <c r="M169" s="384"/>
      <c r="N169" s="384"/>
      <c r="O169" s="384"/>
      <c r="P169" s="172"/>
      <c r="Q169" s="172"/>
      <c r="T169" s="14"/>
      <c r="U169" s="1"/>
      <c r="V169" s="1"/>
      <c r="W169" s="1"/>
      <c r="X169" s="1"/>
      <c r="Y169" s="1"/>
      <c r="Z169" s="1"/>
      <c r="AA169" s="1"/>
      <c r="AB169" s="1"/>
      <c r="AC169" s="1"/>
      <c r="AD169" s="1"/>
      <c r="AE169" s="13"/>
    </row>
    <row r="170" spans="2:31" ht="16.5" hidden="1" customHeight="1" thickBot="1">
      <c r="B170" s="169"/>
      <c r="C170" s="203"/>
      <c r="D170" s="207"/>
      <c r="E170" s="199"/>
      <c r="F170" s="199"/>
      <c r="G170" s="199"/>
      <c r="H170" s="199"/>
      <c r="I170" s="199"/>
      <c r="J170" s="199"/>
      <c r="K170" s="199"/>
      <c r="L170" s="199"/>
      <c r="M170" s="199"/>
      <c r="N170" s="199"/>
      <c r="O170" s="199"/>
      <c r="P170" s="199"/>
      <c r="Q170" s="199"/>
      <c r="T170" s="14"/>
      <c r="U170" s="1"/>
      <c r="V170" s="1"/>
      <c r="W170" s="1"/>
      <c r="X170" s="1"/>
      <c r="Y170" s="1"/>
      <c r="Z170" s="1"/>
      <c r="AA170" s="1"/>
      <c r="AB170" s="1"/>
      <c r="AC170" s="1"/>
      <c r="AD170" s="1"/>
      <c r="AE170" s="13"/>
    </row>
    <row r="171" spans="2:31" ht="16.5" hidden="1" customHeight="1">
      <c r="B171" s="103"/>
      <c r="C171" s="181"/>
      <c r="D171" s="409" t="str">
        <f>IFERROR(IF('Mon Entreprise'!K8&gt;Annexes!U24,"Vous avez débuté votre activité après le 30 Septembre 2020, vous ne pouvez donc pas bénéficier de cette aide",IF(AB152=TRUE,IF(AB157=0,"Vous n'avez pas indiqué de chiffre d'affaires de référence",IF(AB154&lt;AB157*0.2,"Dans votre cas, la perte est inférieure à 20 % du CA, l'aide est donc plafonnée à la perte, soit "&amp;ROUND(AB154,0)&amp;" € pour le mois de Décembre",IF(AB157*0.2&gt;=200000,"Dans votre cas, l'aide est plafonnée, à "&amp;Annexes!S8&amp;" € pour le mois de Décembre","Vous pouvez bénéficier, au titre de cette aide, d'un montant de "&amp;ROUND(AB157*0.2,0)&amp;" € pour le mois de Décembre"))),IF(AB150="OUI",IF(AB155&gt;=0.7,IF(AB154&lt;AB157*0.2,"Dans votre cas, la perte est inférieure à 20 % du CA, l'aide est donc plafonnée à la perte, soit "&amp;ROUND(AB154,0)&amp;" € pour le mois de Décembre",IF(AB157*0.2&gt;=200000,"Dans votre cas, l'aide est plafonnée, à "&amp;Annexes!S8&amp;" € pour le mois de Décembre","Vous pouvez bénéficier, au titre de cette aide, d'un montant de "&amp;ROUND(AB157*0.2,0)&amp;" € pour le mois de Décembre")),IF(AB155&gt;=0.5,IF(AB154&lt;AB157*0.15,"Dans votre cas, la perte est inférieure à 15 % du CA, l'aide est donc plafonnée à la perte, soit "&amp;ROUND(AB154,0)&amp;" € pour le mois de Décembre",IF(AB157*0.15&gt;=200000,"Dans votre cas, l'aide est plafonnée, à "&amp;Annexes!S8&amp;" € pour le mois de Décembre","Vous pouvez bénéficier, au titre de cette aide, d'un montant de "&amp;ROUND(AB157*0.15,0)&amp;" € pour le mois de Décembre")),IF(AND(AB151="OUI",OR(AB147&gt;=0.8,AB148&gt;=0.8,AB149&gt;=0.1),AB155&gt;=0.7),IF(AB154&lt;AB157*0.2,"Dans votre cas, la perte est inférieure à 20 % du CA, l'aide est donc plafonnée à la perte, soit "&amp;ROUND(AB154,0)&amp;" € pour le mois de Décembre"&amp;IF(AND(AB151="OUI",AB166&gt;AB165,AB166&gt;AB164)," *",""),IF(AB157*0.2&gt;=200000,"Dans votre cas, l'aide est plafonnée, à "&amp;Annexes!S8&amp;" € pour le mois de Décembre"&amp;IF(AND(AB151="OUI",AB166&gt;AB165,AB166&gt;AB164)," *",""),"Vous pouvez bénéficier, au titre de cette aide, d'un montant de "&amp;ROUND(AB157*0.2,0)&amp;" € pour le mois de Décembre"&amp;IF(AND(AB151="OUI",AB166&gt;AB165,AB166&gt;AB164)," *",""))),"L'entreprise ne fait ni partie des fermetures administratives au mois de Décembre, ni des activités mentionnées en annexe 1 (S1) avec 50 % de perte en Décembre ou en annexe 2 (S1 bis) ou 3 avec 70 % de Perte en Décembre"))),IF(AND(AB151="OUI",OR(AB147&gt;=0.8,AB148&gt;=0.8,AB149&gt;=0.1),AB155&gt;=0.7),IF(AB154&lt;AB157*0.2,"Dans votre cas, la perte est inférieure à 20 % du CA, l'aide est donc plafonnée à la perte, soit "&amp;ROUND(AB154,0)&amp;" € pour le mois de Décembre"&amp;IF(AND(AB151="OUI",AB166&gt;AB165,AB166&gt;AB164)," *",""),IF(AB157*0.2&gt;=200000,"Dans votre cas, l'aide est plafonnée, à "&amp;Annexes!S8&amp;" € pour le mois de Décembre"&amp;IF(AND(AB151="OUI",AB166&gt;AB165,AB166&gt;AB164)," *",""),"Vous pouvez bénéficier, au titre de cette aide, d'un montant de "&amp;ROUND(AB157*0.2,0)&amp;" € pour le mois de Décembre"&amp;IF(AND(AB151="OUI",AB166&gt;AB165,AB166&gt;AB164),"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71" s="401"/>
      <c r="F171" s="401"/>
      <c r="G171" s="401"/>
      <c r="H171" s="401"/>
      <c r="I171" s="401"/>
      <c r="J171" s="401"/>
      <c r="K171" s="401"/>
      <c r="L171" s="401"/>
      <c r="M171" s="401"/>
      <c r="N171" s="401"/>
      <c r="O171" s="402"/>
      <c r="P171" s="172"/>
      <c r="Q171" s="172"/>
      <c r="T171" s="14"/>
      <c r="U171" s="1"/>
      <c r="V171" s="1"/>
      <c r="W171" s="1"/>
      <c r="X171" s="1"/>
      <c r="Y171" s="1"/>
      <c r="Z171" s="1"/>
      <c r="AA171" s="1"/>
      <c r="AB171" s="1"/>
      <c r="AC171" s="1"/>
      <c r="AD171" s="1"/>
      <c r="AE171" s="13"/>
    </row>
    <row r="172" spans="2:31" ht="16.5" hidden="1" customHeight="1">
      <c r="B172" s="103"/>
      <c r="C172" s="181"/>
      <c r="D172" s="403"/>
      <c r="E172" s="404"/>
      <c r="F172" s="404"/>
      <c r="G172" s="404"/>
      <c r="H172" s="404"/>
      <c r="I172" s="404"/>
      <c r="J172" s="404"/>
      <c r="K172" s="404"/>
      <c r="L172" s="404"/>
      <c r="M172" s="404"/>
      <c r="N172" s="404"/>
      <c r="O172" s="405"/>
      <c r="P172" s="172"/>
      <c r="Q172" s="172"/>
      <c r="T172" s="14"/>
      <c r="U172" s="1"/>
      <c r="V172" s="1"/>
      <c r="W172" s="1"/>
      <c r="X172" s="1"/>
      <c r="Y172" s="1"/>
      <c r="Z172" s="1"/>
      <c r="AA172" s="1"/>
      <c r="AB172" s="1"/>
      <c r="AC172" s="1"/>
      <c r="AD172" s="1"/>
      <c r="AE172" s="13"/>
    </row>
    <row r="173" spans="2:31" ht="16.5" hidden="1" customHeight="1">
      <c r="B173" s="103"/>
      <c r="C173" s="181"/>
      <c r="D173" s="403"/>
      <c r="E173" s="404"/>
      <c r="F173" s="404"/>
      <c r="G173" s="404"/>
      <c r="H173" s="404"/>
      <c r="I173" s="404"/>
      <c r="J173" s="404"/>
      <c r="K173" s="404"/>
      <c r="L173" s="404"/>
      <c r="M173" s="404"/>
      <c r="N173" s="404"/>
      <c r="O173" s="405"/>
      <c r="P173" s="176"/>
      <c r="Q173" s="176"/>
      <c r="T173" s="14"/>
      <c r="U173" s="1"/>
      <c r="V173" s="1"/>
      <c r="W173" s="1"/>
      <c r="X173" s="1"/>
      <c r="Y173" s="1"/>
      <c r="Z173" s="1"/>
      <c r="AA173" s="1"/>
      <c r="AB173" s="1"/>
      <c r="AC173" s="1"/>
      <c r="AD173" s="1"/>
      <c r="AE173" s="13"/>
    </row>
    <row r="174" spans="2:31" ht="16.5" hidden="1" thickBot="1">
      <c r="B174" s="103"/>
      <c r="C174" s="181"/>
      <c r="D174" s="406"/>
      <c r="E174" s="407"/>
      <c r="F174" s="407"/>
      <c r="G174" s="407"/>
      <c r="H174" s="407"/>
      <c r="I174" s="407"/>
      <c r="J174" s="407"/>
      <c r="K174" s="407"/>
      <c r="L174" s="407"/>
      <c r="M174" s="407"/>
      <c r="N174" s="407"/>
      <c r="O174" s="408"/>
      <c r="T174" s="14"/>
      <c r="U174" s="1"/>
      <c r="V174" s="1"/>
      <c r="W174" s="1"/>
      <c r="X174" s="1"/>
      <c r="Y174" s="1"/>
      <c r="Z174" s="1"/>
      <c r="AA174" s="1"/>
      <c r="AB174" s="1"/>
      <c r="AC174" s="1"/>
      <c r="AD174" s="1"/>
      <c r="AE174" s="13"/>
    </row>
    <row r="175" spans="2:31" ht="31.5" hidden="1" customHeight="1">
      <c r="B175" s="103"/>
      <c r="C175" s="164"/>
      <c r="D175" s="381" t="str">
        <f>IF(AND(AB151="OUI",AB166&gt;AB165,AB166&gt;AB164),"* Le cas échéant, l’aide perçue au titre de l’Art. 3-15 ou 3-16, si elle a déjà été demandée, vient en diminution de la présente aide complémentaire au titre de l'Art. 3-17 ou 3-18 du décret 2021-79 du 28 Janvier 2021","")</f>
        <v/>
      </c>
      <c r="E175" s="381"/>
      <c r="F175" s="381"/>
      <c r="G175" s="381"/>
      <c r="H175" s="381"/>
      <c r="I175" s="381"/>
      <c r="J175" s="381"/>
      <c r="K175" s="381"/>
      <c r="L175" s="381"/>
      <c r="M175" s="381"/>
      <c r="N175" s="381"/>
      <c r="O175" s="381"/>
      <c r="P175" s="177"/>
      <c r="Q175" s="177"/>
      <c r="T175" s="14"/>
      <c r="U175" s="1"/>
      <c r="V175" s="1"/>
      <c r="W175" s="1"/>
      <c r="X175" s="1"/>
      <c r="Y175" s="1"/>
      <c r="Z175" s="1"/>
      <c r="AA175" s="1"/>
      <c r="AB175" s="1"/>
      <c r="AC175" s="1"/>
      <c r="AD175" s="1"/>
      <c r="AE175" s="13"/>
    </row>
    <row r="176" spans="2:31" hidden="1">
      <c r="B176" s="5"/>
      <c r="C176" s="5"/>
      <c r="D176" s="240"/>
      <c r="E176" s="240"/>
      <c r="F176" s="240"/>
      <c r="G176" s="240"/>
      <c r="H176" s="240"/>
      <c r="I176" s="240"/>
      <c r="J176" s="240"/>
      <c r="K176" s="240"/>
      <c r="L176" s="240"/>
      <c r="M176" s="240"/>
      <c r="N176" s="240"/>
      <c r="O176" s="240"/>
      <c r="P176" s="178"/>
      <c r="Q176" s="178"/>
      <c r="T176" s="14"/>
      <c r="U176" s="1"/>
      <c r="V176" s="1"/>
      <c r="W176" s="1"/>
      <c r="X176" s="1"/>
      <c r="Y176" s="1"/>
      <c r="Z176" s="1"/>
      <c r="AA176" s="1"/>
      <c r="AB176" s="1"/>
      <c r="AC176" s="1"/>
      <c r="AD176" s="1"/>
      <c r="AE176" s="13"/>
    </row>
    <row r="177" spans="2:31" hidden="1">
      <c r="B177" s="5"/>
      <c r="C177" s="5"/>
      <c r="D177" s="218"/>
      <c r="E177" s="218"/>
      <c r="F177" s="218"/>
      <c r="G177" s="218"/>
      <c r="H177" s="218"/>
      <c r="I177" s="218"/>
      <c r="J177" s="218"/>
      <c r="K177" s="218"/>
      <c r="L177" s="218"/>
      <c r="M177" s="218"/>
      <c r="N177" s="218"/>
      <c r="O177" s="218"/>
      <c r="P177" s="178"/>
      <c r="Q177" s="178"/>
      <c r="T177" s="14"/>
      <c r="U177" s="1"/>
      <c r="V177" s="1"/>
      <c r="W177" s="1"/>
      <c r="X177" s="1"/>
      <c r="Y177" s="1"/>
      <c r="Z177" s="1"/>
      <c r="AA177" s="1"/>
      <c r="AB177" s="1"/>
      <c r="AC177" s="1"/>
      <c r="AD177" s="1"/>
      <c r="AE177" s="13"/>
    </row>
    <row r="178" spans="2:31">
      <c r="B178" s="5"/>
      <c r="C178" s="5"/>
      <c r="D178" s="222"/>
      <c r="E178" s="222"/>
      <c r="F178" s="222"/>
      <c r="G178" s="222"/>
      <c r="H178" s="222"/>
      <c r="I178" s="222"/>
      <c r="J178" s="222"/>
      <c r="K178" s="222"/>
      <c r="L178" s="222"/>
      <c r="M178" s="222"/>
      <c r="N178" s="222"/>
      <c r="O178" s="222"/>
      <c r="P178" s="178"/>
      <c r="Q178" s="178"/>
      <c r="T178" s="14"/>
      <c r="U178" s="1"/>
      <c r="V178" s="1"/>
      <c r="W178" s="1"/>
      <c r="X178" s="1"/>
      <c r="Y178" s="1"/>
      <c r="Z178" s="1"/>
      <c r="AA178" s="1"/>
      <c r="AB178" s="1"/>
      <c r="AC178" s="1"/>
      <c r="AD178" s="1"/>
      <c r="AE178" s="13"/>
    </row>
    <row r="179" spans="2:31" ht="15.75" thickBot="1">
      <c r="B179" s="223"/>
      <c r="C179" s="223"/>
      <c r="D179" s="224"/>
      <c r="E179" s="224"/>
      <c r="F179" s="224"/>
      <c r="G179" s="224"/>
      <c r="H179" s="224"/>
      <c r="I179" s="224"/>
      <c r="J179" s="224"/>
      <c r="K179" s="224"/>
      <c r="L179" s="224"/>
      <c r="M179" s="224"/>
      <c r="N179" s="224"/>
      <c r="O179" s="224"/>
      <c r="P179" s="178"/>
      <c r="Q179" s="178"/>
      <c r="T179" s="14"/>
      <c r="U179" s="1"/>
      <c r="V179" s="1"/>
      <c r="W179" s="1"/>
      <c r="X179" s="1"/>
      <c r="Y179" s="1"/>
      <c r="Z179" s="1"/>
      <c r="AA179" s="1"/>
      <c r="AB179" s="1"/>
      <c r="AC179" s="1"/>
      <c r="AD179" s="1"/>
      <c r="AE179" s="13"/>
    </row>
    <row r="180" spans="2:31">
      <c r="B180" s="382">
        <v>2021</v>
      </c>
      <c r="C180" s="382"/>
      <c r="D180" s="382"/>
      <c r="E180" s="382"/>
      <c r="F180" s="382"/>
      <c r="G180" s="382"/>
      <c r="H180" s="382"/>
      <c r="I180" s="382"/>
      <c r="J180" s="382"/>
      <c r="K180" s="382"/>
      <c r="L180" s="382"/>
      <c r="M180" s="382"/>
      <c r="N180" s="382"/>
      <c r="O180" s="382"/>
      <c r="P180" s="178"/>
      <c r="Q180" s="178"/>
      <c r="T180" s="14"/>
      <c r="U180" s="1"/>
      <c r="V180" s="1"/>
      <c r="W180" s="1"/>
      <c r="X180" s="1"/>
      <c r="Y180" s="1"/>
      <c r="Z180" s="1"/>
      <c r="AA180" s="1"/>
      <c r="AB180" s="1"/>
      <c r="AC180" s="1"/>
      <c r="AD180" s="1"/>
      <c r="AE180" s="13"/>
    </row>
    <row r="181" spans="2:31" ht="15.75" thickBot="1">
      <c r="B181" s="383"/>
      <c r="C181" s="383"/>
      <c r="D181" s="383"/>
      <c r="E181" s="383"/>
      <c r="F181" s="383"/>
      <c r="G181" s="383"/>
      <c r="H181" s="383"/>
      <c r="I181" s="383"/>
      <c r="J181" s="383"/>
      <c r="K181" s="383"/>
      <c r="L181" s="383"/>
      <c r="M181" s="383"/>
      <c r="N181" s="383"/>
      <c r="O181" s="383"/>
      <c r="P181" s="178"/>
      <c r="Q181" s="178"/>
      <c r="T181" s="14"/>
      <c r="U181" s="1"/>
      <c r="V181" s="1"/>
      <c r="W181" s="1"/>
      <c r="X181" s="1"/>
      <c r="Y181" s="1"/>
      <c r="Z181" s="1"/>
      <c r="AA181" s="1"/>
      <c r="AB181" s="1"/>
      <c r="AC181" s="1"/>
      <c r="AD181" s="1"/>
      <c r="AE181" s="13"/>
    </row>
    <row r="182" spans="2:31">
      <c r="D182" s="178"/>
      <c r="E182" s="178"/>
      <c r="F182" s="178"/>
      <c r="G182" s="178"/>
      <c r="H182" s="178"/>
      <c r="I182" s="178"/>
      <c r="J182" s="178"/>
      <c r="K182" s="178"/>
      <c r="L182" s="178"/>
      <c r="M182" s="178"/>
      <c r="N182" s="178"/>
      <c r="O182" s="178"/>
      <c r="P182" s="176"/>
      <c r="Q182" s="176"/>
      <c r="T182" s="14"/>
      <c r="U182" s="1"/>
      <c r="V182" s="1"/>
      <c r="W182" s="1"/>
      <c r="X182" s="1"/>
      <c r="Y182" s="1"/>
      <c r="Z182" s="1"/>
      <c r="AA182" s="1"/>
      <c r="AB182" s="1"/>
      <c r="AC182" s="1"/>
      <c r="AD182" s="1"/>
      <c r="AE182" s="13"/>
    </row>
    <row r="183" spans="2:31">
      <c r="D183" s="178"/>
      <c r="E183" s="178"/>
      <c r="F183" s="178"/>
      <c r="G183" s="178"/>
      <c r="H183" s="178"/>
      <c r="I183" s="178"/>
      <c r="J183" s="178"/>
      <c r="K183" s="178"/>
      <c r="L183" s="178"/>
      <c r="M183" s="178"/>
      <c r="N183" s="178"/>
      <c r="O183" s="178"/>
      <c r="P183" s="176"/>
      <c r="Q183" s="176"/>
      <c r="T183" s="14"/>
      <c r="U183" s="1"/>
      <c r="V183" s="1"/>
      <c r="W183" s="1"/>
      <c r="X183" s="1"/>
      <c r="Y183" s="1"/>
      <c r="Z183" s="1"/>
      <c r="AA183" s="1"/>
      <c r="AB183" s="1"/>
      <c r="AC183" s="1"/>
      <c r="AD183" s="1"/>
      <c r="AE183" s="13"/>
    </row>
    <row r="184" spans="2:31" ht="15" customHeight="1" thickBot="1">
      <c r="B184" s="225"/>
      <c r="C184" s="414" t="s">
        <v>126</v>
      </c>
      <c r="D184" s="414"/>
      <c r="E184" s="414"/>
      <c r="F184" s="414"/>
      <c r="G184" s="414"/>
      <c r="H184" s="414"/>
      <c r="I184" s="226"/>
      <c r="J184" s="226"/>
      <c r="K184" s="226"/>
      <c r="L184" s="226"/>
      <c r="M184" s="226"/>
      <c r="N184" s="226"/>
      <c r="O184" s="226"/>
      <c r="T184" s="15"/>
      <c r="U184" s="10"/>
      <c r="V184" s="10"/>
      <c r="W184" s="10"/>
      <c r="X184" s="10"/>
      <c r="Y184" s="10"/>
      <c r="Z184" s="10"/>
      <c r="AA184" s="10"/>
      <c r="AB184" s="10"/>
      <c r="AC184" s="10"/>
      <c r="AD184" s="10"/>
      <c r="AE184" s="4"/>
    </row>
    <row r="185" spans="2:31" ht="15" customHeight="1">
      <c r="B185" s="63"/>
      <c r="C185" s="24"/>
      <c r="D185" s="24"/>
      <c r="E185" s="24"/>
      <c r="F185" s="24"/>
      <c r="G185" s="24"/>
      <c r="H185" s="63"/>
      <c r="I185" s="1"/>
      <c r="J185" s="1"/>
      <c r="K185" s="1"/>
      <c r="L185" s="1"/>
      <c r="M185" s="1"/>
      <c r="N185" s="1"/>
      <c r="O185" s="1"/>
      <c r="T185" s="16"/>
      <c r="U185" s="11"/>
      <c r="V185" s="11"/>
      <c r="W185" s="11"/>
      <c r="X185" s="11"/>
      <c r="Y185" s="11"/>
      <c r="Z185" s="11"/>
      <c r="AA185" s="11"/>
      <c r="AB185" s="11"/>
      <c r="AC185" s="11"/>
      <c r="AD185" s="11"/>
      <c r="AE185" s="12"/>
    </row>
    <row r="186" spans="2:31" ht="15.75" hidden="1" customHeight="1">
      <c r="B186" s="103"/>
      <c r="C186" s="385" t="s">
        <v>129</v>
      </c>
      <c r="D186" s="385"/>
      <c r="E186" s="385"/>
      <c r="F186" s="385"/>
      <c r="G186" s="385"/>
      <c r="H186" s="385"/>
      <c r="I186" s="385"/>
      <c r="J186" s="385"/>
      <c r="K186" s="385"/>
      <c r="L186" s="385"/>
      <c r="M186" s="385"/>
      <c r="N186" s="385"/>
      <c r="O186" s="385"/>
      <c r="P186" s="1"/>
      <c r="T186" s="14"/>
      <c r="U186" s="1"/>
      <c r="V186" s="1"/>
      <c r="W186" s="1"/>
      <c r="X186" s="1"/>
      <c r="Y186" s="1"/>
      <c r="Z186" s="1"/>
      <c r="AA186" s="1"/>
      <c r="AB186" s="1"/>
      <c r="AC186" s="1"/>
      <c r="AD186" s="1"/>
      <c r="AE186" s="13"/>
    </row>
    <row r="187" spans="2:31" ht="15.75" hidden="1">
      <c r="B187" s="103"/>
      <c r="C187" s="215"/>
      <c r="D187" s="60" t="s">
        <v>130</v>
      </c>
      <c r="E187" s="215"/>
      <c r="F187" s="215"/>
      <c r="G187" s="215"/>
      <c r="H187" s="215"/>
      <c r="I187" s="215"/>
      <c r="J187" s="215"/>
      <c r="K187" s="215"/>
      <c r="L187" s="215"/>
      <c r="M187" s="215"/>
      <c r="N187" s="215"/>
      <c r="O187" s="215"/>
      <c r="P187" s="1"/>
      <c r="T187" s="25"/>
      <c r="U187" s="379" t="s">
        <v>20</v>
      </c>
      <c r="V187" s="379"/>
      <c r="W187" s="379"/>
      <c r="X187" s="1"/>
      <c r="Y187" s="216" t="s">
        <v>6</v>
      </c>
      <c r="Z187" s="216"/>
      <c r="AA187" s="216"/>
      <c r="AB187" s="216" t="s">
        <v>23</v>
      </c>
      <c r="AC187" s="216"/>
      <c r="AD187" s="216"/>
      <c r="AE187" s="26" t="s">
        <v>24</v>
      </c>
    </row>
    <row r="188" spans="2:31" ht="16.5" thickBot="1">
      <c r="B188" s="103"/>
      <c r="C188" s="215"/>
      <c r="D188" s="60"/>
      <c r="E188" s="215"/>
      <c r="F188" s="215"/>
      <c r="G188" s="215"/>
      <c r="H188" s="215"/>
      <c r="I188" s="215"/>
      <c r="J188" s="215"/>
      <c r="K188" s="215"/>
      <c r="L188" s="215"/>
      <c r="M188" s="215"/>
      <c r="N188" s="215"/>
      <c r="O188" s="215"/>
      <c r="P188" s="1"/>
      <c r="T188" s="25"/>
      <c r="U188" s="216"/>
      <c r="V188" s="216"/>
      <c r="W188" s="216"/>
      <c r="X188" s="1"/>
      <c r="Y188" s="216"/>
      <c r="Z188" s="216"/>
      <c r="AA188" s="216"/>
      <c r="AB188" s="216"/>
      <c r="AC188" s="216"/>
      <c r="AD188" s="216"/>
      <c r="AE188" s="26"/>
    </row>
    <row r="189" spans="2:31" ht="15.75" customHeight="1">
      <c r="B189" s="103"/>
      <c r="C189" s="215"/>
      <c r="D189" s="386" t="str">
        <f>IFERROR(IF(AND(AB223=0,AB224=0,AB225=0),"Vous ne pouvez pas bénéficier du fonds de solidarité pour le mois de Janvier 2021",IF(AND(AB225&gt;AB224,AB225&gt;AB223),"Votre entreprise peut bénéficier d'une aide de "&amp;AB225&amp;" €, au titre d'une fermeture Administrative, ou d'une perte d'au moins 50 % ou 70 % du CA pour les activités mentionnées en annexe 1, ou d'une perte d'au moins 70 % du CA pour les activités mentionnées en annexe 2 ou 3",IF(AB224&gt;AB223,"Votre entreprise peut bénéficier d'une aide de "&amp;AB224&amp;"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"&amp;AB223&amp;" €, au titre d'une perte d'au-moins 50 % de votre CA en Janvier 2021"))),"Vous n'avez pas indiqué de chiffre d'affaires de référence")</f>
        <v>Vous ne pouvez pas bénéficier du fonds de solidarité pour le mois de Janvier 2021</v>
      </c>
      <c r="E189" s="387"/>
      <c r="F189" s="387"/>
      <c r="G189" s="387"/>
      <c r="H189" s="387"/>
      <c r="I189" s="387"/>
      <c r="J189" s="387"/>
      <c r="K189" s="387"/>
      <c r="L189" s="387"/>
      <c r="M189" s="387"/>
      <c r="N189" s="387"/>
      <c r="O189" s="388"/>
      <c r="P189" s="1"/>
      <c r="T189" s="378" t="s">
        <v>128</v>
      </c>
      <c r="U189" s="379"/>
      <c r="V189" s="379"/>
      <c r="W189" s="379"/>
      <c r="X189" s="1"/>
      <c r="Y189" s="7">
        <f>'Mon Entreprise'!I87</f>
        <v>0</v>
      </c>
      <c r="Z189" s="133"/>
      <c r="AA189" s="21"/>
      <c r="AB189" s="7">
        <f>IF('Mon Entreprise'!I87-'Mon Entreprise'!M87&lt;0,0,'Mon Entreprise'!I87-'Mon Entreprise'!M87)</f>
        <v>0</v>
      </c>
      <c r="AC189" s="13"/>
      <c r="AD189" s="1"/>
      <c r="AE189" s="27">
        <f>IFERROR(1-'Mon Entreprise'!M87/'Mon Entreprise'!I87,0)</f>
        <v>0</v>
      </c>
    </row>
    <row r="190" spans="2:31" ht="15.75" customHeight="1">
      <c r="B190" s="103"/>
      <c r="C190" s="215"/>
      <c r="D190" s="389"/>
      <c r="E190" s="390"/>
      <c r="F190" s="390"/>
      <c r="G190" s="390"/>
      <c r="H190" s="390"/>
      <c r="I190" s="390"/>
      <c r="J190" s="390"/>
      <c r="K190" s="390"/>
      <c r="L190" s="390"/>
      <c r="M190" s="390"/>
      <c r="N190" s="390"/>
      <c r="O190" s="391"/>
      <c r="P190" s="1"/>
      <c r="T190" s="378" t="s">
        <v>25</v>
      </c>
      <c r="U190" s="379"/>
      <c r="V190" s="379"/>
      <c r="W190" s="379"/>
      <c r="X190" s="1"/>
      <c r="Y190" s="7">
        <f>'Mon Entreprise'!I63</f>
        <v>0</v>
      </c>
      <c r="Z190" s="133"/>
      <c r="AA190" s="21"/>
      <c r="AB190" s="7">
        <f>IF('Mon Entreprise'!I63-'Mon Entreprise'!M87&lt;0,0,'Mon Entreprise'!I63-'Mon Entreprise'!M87)</f>
        <v>0</v>
      </c>
      <c r="AC190" s="36"/>
      <c r="AD190" s="1"/>
      <c r="AE190" s="27">
        <f>IFERROR(1-'Mon Entreprise'!M87/'Mon Entreprise'!I63,0)</f>
        <v>0</v>
      </c>
    </row>
    <row r="191" spans="2:31" ht="15.75" customHeight="1">
      <c r="B191" s="103"/>
      <c r="C191" s="215"/>
      <c r="D191" s="389"/>
      <c r="E191" s="390"/>
      <c r="F191" s="390"/>
      <c r="G191" s="390"/>
      <c r="H191" s="390"/>
      <c r="I191" s="390"/>
      <c r="J191" s="390"/>
      <c r="K191" s="390"/>
      <c r="L191" s="390"/>
      <c r="M191" s="390"/>
      <c r="N191" s="390"/>
      <c r="O191" s="391"/>
      <c r="P191" s="1"/>
      <c r="T191" s="395" t="s">
        <v>22</v>
      </c>
      <c r="U191" s="396"/>
      <c r="V191" s="396"/>
      <c r="W191" s="396"/>
      <c r="X191" s="139"/>
      <c r="Y191" s="140" t="str">
        <f>IF('Mon Entreprise'!I98="","NC",'Mon Entreprise'!I98)</f>
        <v>NC</v>
      </c>
      <c r="Z191" s="193"/>
      <c r="AA191" s="194"/>
      <c r="AB191" s="143" t="str">
        <f>IFERROR(IF('Mon Entreprise'!I98-'Mon Entreprise'!M87&lt;0,0,'Mon Entreprise'!I98-'Mon Entreprise'!M87),"NC")</f>
        <v>NC</v>
      </c>
      <c r="AC191" s="195"/>
      <c r="AD191" s="139"/>
      <c r="AE191" s="146" t="str">
        <f>IFERROR(1-'Mon Entreprise'!M87/'Mon Entreprise'!I98,"NC")</f>
        <v>NC</v>
      </c>
    </row>
    <row r="192" spans="2:31" ht="15.75" customHeight="1">
      <c r="B192" s="103"/>
      <c r="C192" s="215"/>
      <c r="D192" s="389"/>
      <c r="E192" s="390"/>
      <c r="F192" s="390"/>
      <c r="G192" s="390"/>
      <c r="H192" s="390"/>
      <c r="I192" s="390"/>
      <c r="J192" s="390"/>
      <c r="K192" s="390"/>
      <c r="L192" s="390"/>
      <c r="M192" s="390"/>
      <c r="N192" s="390"/>
      <c r="O192" s="391"/>
      <c r="P192" s="1"/>
      <c r="T192" s="14"/>
      <c r="U192" s="1"/>
      <c r="V192" s="1"/>
      <c r="W192" s="1"/>
      <c r="X192" s="1"/>
      <c r="Y192" s="1"/>
      <c r="Z192" s="1"/>
      <c r="AA192" s="1"/>
      <c r="AB192" s="1"/>
      <c r="AC192" s="1"/>
      <c r="AD192" s="1"/>
      <c r="AE192" s="13"/>
    </row>
    <row r="193" spans="2:31" ht="16.5" customHeight="1" thickBot="1">
      <c r="B193" s="103"/>
      <c r="C193" s="215"/>
      <c r="D193" s="392"/>
      <c r="E193" s="393"/>
      <c r="F193" s="393"/>
      <c r="G193" s="393"/>
      <c r="H193" s="393"/>
      <c r="I193" s="393"/>
      <c r="J193" s="393"/>
      <c r="K193" s="393"/>
      <c r="L193" s="393"/>
      <c r="M193" s="393"/>
      <c r="N193" s="393"/>
      <c r="O193" s="394"/>
      <c r="P193" s="1"/>
      <c r="T193" s="14"/>
      <c r="AC193" s="1"/>
      <c r="AD193" s="1"/>
      <c r="AE193" s="13"/>
    </row>
    <row r="194" spans="2:31" ht="15.75">
      <c r="B194" s="103"/>
      <c r="C194" s="215"/>
      <c r="D194" s="60"/>
      <c r="E194" s="215"/>
      <c r="F194" s="215"/>
      <c r="G194" s="215"/>
      <c r="H194" s="215"/>
      <c r="I194" s="215"/>
      <c r="J194" s="215"/>
      <c r="K194" s="215"/>
      <c r="L194" s="215"/>
      <c r="M194" s="215"/>
      <c r="N194" s="215"/>
      <c r="O194" s="215"/>
      <c r="P194" s="1"/>
      <c r="T194" s="14"/>
      <c r="AC194" s="1"/>
      <c r="AD194" s="1"/>
      <c r="AE194" s="13"/>
    </row>
    <row r="195" spans="2:31" ht="15.75" hidden="1">
      <c r="B195" s="103"/>
      <c r="C195" s="78"/>
      <c r="D195" s="78"/>
      <c r="E195" s="78"/>
      <c r="F195" s="78"/>
      <c r="G195" s="78"/>
      <c r="H195" s="78"/>
      <c r="I195" s="78"/>
      <c r="J195" s="78"/>
      <c r="K195" s="78"/>
      <c r="L195" s="78"/>
      <c r="M195" s="78"/>
      <c r="N195" s="78"/>
      <c r="O195" s="78"/>
      <c r="P195" s="1"/>
      <c r="T195" s="14"/>
      <c r="AC195" s="1"/>
      <c r="AD195" s="1"/>
      <c r="AE195" s="13"/>
    </row>
    <row r="196" spans="2:31" ht="15.75" hidden="1">
      <c r="B196" s="103"/>
      <c r="C196" s="215"/>
      <c r="D196" s="60"/>
      <c r="E196" s="215"/>
      <c r="F196" s="215"/>
      <c r="G196" s="215"/>
      <c r="H196" s="215"/>
      <c r="I196" s="215"/>
      <c r="J196" s="215"/>
      <c r="K196" s="215"/>
      <c r="L196" s="215"/>
      <c r="M196" s="215"/>
      <c r="N196" s="215"/>
      <c r="O196" s="215"/>
      <c r="P196" s="1"/>
      <c r="T196" s="14"/>
      <c r="U196" s="1"/>
      <c r="V196" s="1"/>
      <c r="W196" s="1"/>
      <c r="X196" s="1"/>
      <c r="Y196" s="1"/>
      <c r="Z196" s="1"/>
      <c r="AA196" s="1"/>
      <c r="AB196" s="1"/>
      <c r="AC196" s="1"/>
      <c r="AD196" s="1"/>
      <c r="AE196" s="13"/>
    </row>
    <row r="197" spans="2:31" ht="15.75" hidden="1">
      <c r="B197" s="103"/>
      <c r="C197" s="215" t="s">
        <v>127</v>
      </c>
      <c r="D197" s="60"/>
      <c r="E197" s="215"/>
      <c r="F197" s="215"/>
      <c r="G197" s="215"/>
      <c r="H197" s="215"/>
      <c r="I197" s="215"/>
      <c r="J197" s="215"/>
      <c r="K197" s="215"/>
      <c r="L197" s="215"/>
      <c r="M197" s="215"/>
      <c r="N197" s="215"/>
      <c r="O197" s="215"/>
      <c r="P197" s="1"/>
      <c r="T197" s="14"/>
      <c r="U197" s="377" t="s">
        <v>74</v>
      </c>
      <c r="V197" s="377"/>
      <c r="W197" s="377"/>
      <c r="X197" s="377"/>
      <c r="Y197" s="377"/>
      <c r="Z197" s="1"/>
      <c r="AA197" s="14"/>
      <c r="AB197" s="212" t="str">
        <f>IF('Mon Entreprise'!K8&lt;=Annexes!U24,"Oui","Non")</f>
        <v>Oui</v>
      </c>
      <c r="AC197" s="1"/>
      <c r="AD197" s="1"/>
      <c r="AE197" s="13"/>
    </row>
    <row r="198" spans="2:31" ht="15.75" hidden="1">
      <c r="B198" s="169"/>
      <c r="C198" s="215"/>
      <c r="D198" s="60" t="str">
        <f>IFERROR(IF('Mon Entreprise'!K8&gt;=Annexes!S20,IF(AB189&gt;=AB191,"Le CA de référence est celui de Janvier 2019, soit une perte de "&amp;ROUND(AB189,0)&amp;" €"&amp;" ==&gt; "&amp;ROUND(AE189*100,0)&amp;" %","Le CA de référence est celui de la création, soit une perte de "&amp;ROUND(AB191,0)&amp;" €"&amp;" ==&gt; "&amp;ROUND(AE191*100,0)&amp;" %"),IF(AB189&gt;=AB190,"Le CA de référence est celui de Janvier 2019, soit une perte de "&amp;ROUND(AB189,0)&amp;" €"&amp;" ==&gt; "&amp;ROUND(AE189*100,0)&amp;" %","Le CA de référence est celui de de l'exercice 2019, soit une perte de "&amp;ROUND(AB190,0)&amp;" €"&amp;" ==&gt; "&amp;ROUND(AE190*100,0)&amp;" %")),"")</f>
        <v>Le CA de référence est celui de Janvier 2019, soit une perte de 0 € ==&gt; 0 %</v>
      </c>
      <c r="E198" s="215"/>
      <c r="F198" s="215"/>
      <c r="G198" s="215"/>
      <c r="H198" s="215"/>
      <c r="I198" s="215"/>
      <c r="J198" s="215"/>
      <c r="K198" s="215"/>
      <c r="L198" s="215"/>
      <c r="M198" s="215"/>
      <c r="N198" s="215"/>
      <c r="O198" s="215"/>
      <c r="P198" s="1"/>
      <c r="T198" s="14"/>
      <c r="U198" s="377" t="s">
        <v>87</v>
      </c>
      <c r="V198" s="377"/>
      <c r="W198" s="377"/>
      <c r="X198" s="377"/>
      <c r="Y198" s="377"/>
      <c r="Z198" s="1"/>
      <c r="AA198" s="14"/>
      <c r="AB198" s="213">
        <f>IF('Mon Entreprise'!K8&gt;=Annexes!S20,IF(AB189&gt;=AB191,AB189,AB191),IF(AB189&gt;=AB190,AB189,AB190))</f>
        <v>0</v>
      </c>
      <c r="AC198" s="1"/>
      <c r="AD198" s="1"/>
      <c r="AE198" s="13"/>
    </row>
    <row r="199" spans="2:31" ht="16.5" hidden="1" thickBot="1">
      <c r="B199" s="103"/>
      <c r="C199" s="215"/>
      <c r="D199" s="60"/>
      <c r="E199" s="215"/>
      <c r="F199" s="215"/>
      <c r="G199" s="215"/>
      <c r="H199" s="215"/>
      <c r="I199" s="215"/>
      <c r="J199" s="215"/>
      <c r="K199" s="215"/>
      <c r="L199" s="215"/>
      <c r="M199" s="215"/>
      <c r="N199" s="215"/>
      <c r="O199" s="215"/>
      <c r="P199" s="1"/>
      <c r="T199" s="14"/>
      <c r="U199" s="377" t="s">
        <v>88</v>
      </c>
      <c r="V199" s="377"/>
      <c r="W199" s="377"/>
      <c r="X199" s="377"/>
      <c r="Y199" s="377"/>
      <c r="Z199" s="1"/>
      <c r="AA199" s="14"/>
      <c r="AB199" s="19">
        <f>IF('Mon Entreprise'!K8&gt;=Annexes!S20,IF(AB189&gt;=AB191,AE189,AE191),IF(AB189&gt;=AB190,AE189,AE190))</f>
        <v>0</v>
      </c>
      <c r="AC199" s="1"/>
      <c r="AD199" s="1"/>
      <c r="AE199" s="13"/>
    </row>
    <row r="200" spans="2:31" ht="15.75" hidden="1" customHeight="1">
      <c r="B200" s="169"/>
      <c r="C200" s="215"/>
      <c r="D200" s="400" t="str">
        <f>IFERROR(IF(AB197="Non","Vous avez débuté votre activité après le 31 Octobre 2020, vous ne pouvez donc pas bénéficier de cette aide",IF(AB199&gt;=0.5,IF(AB198&gt;Annexes!S5,"Dans votre cas, l'aide est Plafonnée, à "&amp;Annexes!S5&amp;" € pour le mois de Janvier","Vous pouvez bénéficier, au titre de cette aide, d'un montant de "&amp;ROUND(AB198,0)&amp;" € pour le mois de Janvier"),"L'entreprise n'a pas une perte d'au moins 50 % en Janvier 2021")),"Vous n'avez pas indiqué de chiffre d'affaires de référence")</f>
        <v>L'entreprise n'a pas une perte d'au moins 50 % en Janvier 2021</v>
      </c>
      <c r="E200" s="401"/>
      <c r="F200" s="401"/>
      <c r="G200" s="401"/>
      <c r="H200" s="401"/>
      <c r="I200" s="401"/>
      <c r="J200" s="401"/>
      <c r="K200" s="401"/>
      <c r="L200" s="401"/>
      <c r="M200" s="401"/>
      <c r="N200" s="401"/>
      <c r="O200" s="402"/>
      <c r="P200" s="1"/>
      <c r="T200" s="14"/>
      <c r="U200" s="1"/>
      <c r="V200" s="1"/>
      <c r="W200" s="1"/>
      <c r="X200" s="1"/>
      <c r="Y200" s="1"/>
      <c r="Z200" s="1"/>
      <c r="AA200" s="1"/>
      <c r="AB200" s="1"/>
      <c r="AC200" s="1"/>
      <c r="AD200" s="1"/>
      <c r="AE200" s="13"/>
    </row>
    <row r="201" spans="2:31" ht="15.75" hidden="1" customHeight="1">
      <c r="B201" s="169"/>
      <c r="C201" s="215"/>
      <c r="D201" s="403"/>
      <c r="E201" s="404"/>
      <c r="F201" s="404"/>
      <c r="G201" s="404"/>
      <c r="H201" s="404"/>
      <c r="I201" s="404"/>
      <c r="J201" s="404"/>
      <c r="K201" s="404"/>
      <c r="L201" s="404"/>
      <c r="M201" s="404"/>
      <c r="N201" s="404"/>
      <c r="O201" s="405"/>
      <c r="P201" s="1"/>
      <c r="T201" s="14"/>
      <c r="U201" s="1"/>
      <c r="V201" s="1"/>
      <c r="W201" s="1"/>
      <c r="X201" s="1"/>
      <c r="Y201" s="1"/>
      <c r="Z201" s="1"/>
      <c r="AA201" s="1"/>
      <c r="AB201" s="1"/>
      <c r="AC201" s="1"/>
      <c r="AD201" s="1"/>
      <c r="AE201" s="13"/>
    </row>
    <row r="202" spans="2:31" ht="15.75" hidden="1" customHeight="1">
      <c r="B202" s="103"/>
      <c r="C202" s="215"/>
      <c r="D202" s="403"/>
      <c r="E202" s="404"/>
      <c r="F202" s="404"/>
      <c r="G202" s="404"/>
      <c r="H202" s="404"/>
      <c r="I202" s="404"/>
      <c r="J202" s="404"/>
      <c r="K202" s="404"/>
      <c r="L202" s="404"/>
      <c r="M202" s="404"/>
      <c r="N202" s="404"/>
      <c r="O202" s="405"/>
      <c r="P202" s="1"/>
      <c r="T202" s="14"/>
      <c r="U202" s="1"/>
      <c r="V202" s="1"/>
      <c r="W202" s="1"/>
      <c r="X202" s="1"/>
      <c r="Y202" s="1"/>
      <c r="Z202" s="1"/>
      <c r="AA202" s="1"/>
      <c r="AB202" s="1"/>
      <c r="AC202" s="1"/>
      <c r="AD202" s="1"/>
      <c r="AE202" s="13"/>
    </row>
    <row r="203" spans="2:31" ht="16.5" hidden="1" customHeight="1" thickBot="1">
      <c r="B203" s="103"/>
      <c r="C203" s="215"/>
      <c r="D203" s="406"/>
      <c r="E203" s="407"/>
      <c r="F203" s="407"/>
      <c r="G203" s="407"/>
      <c r="H203" s="407"/>
      <c r="I203" s="407"/>
      <c r="J203" s="407"/>
      <c r="K203" s="407"/>
      <c r="L203" s="407"/>
      <c r="M203" s="407"/>
      <c r="N203" s="407"/>
      <c r="O203" s="408"/>
      <c r="P203" s="1"/>
      <c r="T203" s="14"/>
      <c r="U203" s="1"/>
      <c r="V203" s="1"/>
      <c r="W203" s="1"/>
      <c r="X203" s="1"/>
      <c r="Y203" s="1"/>
      <c r="Z203" s="1"/>
      <c r="AA203" s="1"/>
      <c r="AB203" s="1"/>
      <c r="AC203" s="1"/>
      <c r="AD203" s="1"/>
      <c r="AE203" s="13"/>
    </row>
    <row r="204" spans="2:31" ht="16.5" hidden="1" customHeight="1">
      <c r="B204" s="103"/>
      <c r="C204" s="170"/>
      <c r="D204" s="171"/>
      <c r="E204" s="171"/>
      <c r="F204" s="171"/>
      <c r="G204" s="171"/>
      <c r="H204" s="171"/>
      <c r="I204" s="171"/>
      <c r="J204" s="171"/>
      <c r="K204" s="171"/>
      <c r="L204" s="171"/>
      <c r="M204" s="171"/>
      <c r="N204" s="171"/>
      <c r="O204" s="171"/>
      <c r="P204" s="1"/>
      <c r="T204" s="14"/>
      <c r="U204" s="1"/>
      <c r="V204" s="1"/>
      <c r="W204" s="1"/>
      <c r="X204" s="1"/>
      <c r="Y204" s="1"/>
      <c r="Z204" s="1"/>
      <c r="AA204" s="1"/>
      <c r="AB204" s="1"/>
      <c r="AC204" s="1"/>
      <c r="AD204" s="1"/>
      <c r="AE204" s="13"/>
    </row>
    <row r="205" spans="2:31" ht="16.5" hidden="1" customHeight="1">
      <c r="B205" s="103"/>
      <c r="C205" s="215"/>
      <c r="D205" s="214"/>
      <c r="E205" s="214"/>
      <c r="F205" s="214"/>
      <c r="G205" s="214"/>
      <c r="H205" s="214"/>
      <c r="I205" s="214"/>
      <c r="J205" s="214"/>
      <c r="K205" s="214"/>
      <c r="L205" s="214"/>
      <c r="M205" s="214"/>
      <c r="N205" s="214"/>
      <c r="O205" s="214"/>
      <c r="P205" s="1"/>
      <c r="T205" s="411" t="s">
        <v>4</v>
      </c>
      <c r="U205" s="412"/>
      <c r="V205" s="412"/>
      <c r="W205" s="412"/>
      <c r="X205" s="412"/>
      <c r="Y205" s="412"/>
      <c r="Z205" s="139"/>
      <c r="AA205" s="145"/>
      <c r="AB205" s="196">
        <f>IFERROR(IF('Mon Entreprise'!K8&lt;Annexes!U14,IF('Mon Entreprise'!K8&lt;Annexes!S17,IF(IFERROR(1-'Mon Entreprise'!M83/'Mon Entreprise'!I83,0)&gt;=IFERROR(1-'Mon Entreprise'!M83/('Mon Entreprise'!I63*2),0),1-'Mon Entreprise'!M83/'Mon Entreprise'!I83,1-'Mon Entreprise'!M83/('Mon Entreprise'!I63*2)),1-'Mon Entreprise'!M83/'Mon Entreprise'!I126),0),0)</f>
        <v>0</v>
      </c>
      <c r="AC205" s="1"/>
      <c r="AD205" s="1"/>
      <c r="AE205" s="13"/>
    </row>
    <row r="206" spans="2:31" ht="16.5" hidden="1" customHeight="1">
      <c r="B206" s="103"/>
      <c r="C206" s="413" t="s">
        <v>119</v>
      </c>
      <c r="D206" s="413"/>
      <c r="E206" s="413"/>
      <c r="F206" s="413"/>
      <c r="G206" s="413"/>
      <c r="H206" s="413"/>
      <c r="I206" s="413"/>
      <c r="J206" s="413"/>
      <c r="K206" s="413"/>
      <c r="L206" s="413"/>
      <c r="M206" s="413"/>
      <c r="N206" s="413"/>
      <c r="O206" s="413"/>
      <c r="P206" s="1"/>
      <c r="T206" s="110"/>
      <c r="U206" s="399" t="s">
        <v>107</v>
      </c>
      <c r="V206" s="399"/>
      <c r="W206" s="399"/>
      <c r="X206" s="399"/>
      <c r="Y206" s="399"/>
      <c r="Z206" s="139"/>
      <c r="AA206" s="145"/>
      <c r="AB206" s="196">
        <f>IFERROR(IF('Mon Entreprise'!K8&gt;Annexes!U26,0,IF('Mon Entreprise'!K8&gt;=Annexes!U25,1-'Mon Entreprise'!M79/'Mon Entreprise'!M81,IF('Mon Entreprise'!K8&gt;Annexes!U14,1-'Mon Entreprise'!M79/'Mon Entreprise'!I130,AB104))),0)</f>
        <v>0</v>
      </c>
      <c r="AC206" s="1"/>
      <c r="AD206" s="1"/>
      <c r="AE206" s="13"/>
    </row>
    <row r="207" spans="2:31" ht="16.5" hidden="1" customHeight="1">
      <c r="B207" s="103"/>
      <c r="C207" s="413"/>
      <c r="D207" s="413"/>
      <c r="E207" s="413"/>
      <c r="F207" s="413"/>
      <c r="G207" s="413"/>
      <c r="H207" s="413"/>
      <c r="I207" s="413"/>
      <c r="J207" s="413"/>
      <c r="K207" s="413"/>
      <c r="L207" s="413"/>
      <c r="M207" s="413"/>
      <c r="N207" s="413"/>
      <c r="O207" s="413"/>
      <c r="P207" s="1"/>
      <c r="T207" s="110"/>
      <c r="U207" s="399" t="s">
        <v>116</v>
      </c>
      <c r="V207" s="399"/>
      <c r="W207" s="399"/>
      <c r="X207" s="399"/>
      <c r="Y207" s="399"/>
      <c r="Z207" s="139"/>
      <c r="AA207" s="145"/>
      <c r="AB207" s="196">
        <f>IFERROR(IF(Annexes!S27&gt;'Mon Entreprise'!K8,1-'Mon Entreprise'!M63/'Mon Entreprise'!I63,""),0)</f>
        <v>0</v>
      </c>
      <c r="AC207" s="1"/>
      <c r="AD207" s="1"/>
      <c r="AE207" s="13"/>
    </row>
    <row r="208" spans="2:31" ht="16.5" hidden="1" customHeight="1">
      <c r="B208" s="103"/>
      <c r="C208" s="413"/>
      <c r="D208" s="413"/>
      <c r="E208" s="413"/>
      <c r="F208" s="413"/>
      <c r="G208" s="413"/>
      <c r="H208" s="413"/>
      <c r="I208" s="413"/>
      <c r="J208" s="413"/>
      <c r="K208" s="413"/>
      <c r="L208" s="413"/>
      <c r="M208" s="413"/>
      <c r="N208" s="413"/>
      <c r="O208" s="413"/>
      <c r="P208" s="1"/>
      <c r="T208" s="14"/>
      <c r="U208" s="397" t="s">
        <v>8</v>
      </c>
      <c r="V208" s="397"/>
      <c r="W208" s="397"/>
      <c r="X208" s="397"/>
      <c r="Y208" s="397"/>
      <c r="Z208" s="1"/>
      <c r="AA208" s="14"/>
      <c r="AB208" s="213" t="str">
        <f>IF((AND(Annexes!F5&gt;1,Annexes!F5&lt;=Annexes!H6)),"OUI","NON")</f>
        <v>NON</v>
      </c>
      <c r="AC208" s="1"/>
      <c r="AD208" s="1"/>
      <c r="AE208" s="13"/>
    </row>
    <row r="209" spans="1:31" ht="16.5" hidden="1" customHeight="1">
      <c r="B209" s="103"/>
      <c r="C209" s="215"/>
      <c r="D209" s="214"/>
      <c r="E209" s="301" t="str">
        <f>IF('Mon Entreprise'!K8&gt;Annexes!U24,"",IF(OR(AB208="OUI",AND(OR(AB210="OUI",AB209="OUI"),OR(AB205&gt;=Annexes!T5,AB206&gt;=Annexes!T5,'Mes Aides'!AB149&gt;=0.1)),AB211=TRUE),"",IF(AND(OR(AB210="OUI",AB209="OUI"),OR(AB205&lt;Annexes!T5,AB206&lt;Annexes!T5,'Mes Aides'!AB207&lt;0.1)),"L'entreprise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9" s="301"/>
      <c r="G209" s="301"/>
      <c r="H209" s="301"/>
      <c r="I209" s="301"/>
      <c r="J209" s="301"/>
      <c r="K209" s="301"/>
      <c r="L209" s="301"/>
      <c r="M209" s="301"/>
      <c r="N209" s="301"/>
      <c r="O209" s="301"/>
      <c r="P209" s="1"/>
      <c r="T209" s="14"/>
      <c r="U209" s="253"/>
      <c r="V209" s="253"/>
      <c r="W209" s="253"/>
      <c r="X209" s="253"/>
      <c r="Y209" s="253" t="s">
        <v>9</v>
      </c>
      <c r="Z209" s="1"/>
      <c r="AA209" s="14"/>
      <c r="AB209" s="252" t="str">
        <f>IF(AND(Annexes!F7&gt;1,Annexes!F7&lt;=Annexes!H8),"OUI","NON")</f>
        <v>NON</v>
      </c>
      <c r="AC209" s="1"/>
      <c r="AD209" s="1"/>
      <c r="AE209" s="13"/>
    </row>
    <row r="210" spans="1:31" ht="16.5" hidden="1" customHeight="1">
      <c r="B210" s="169"/>
      <c r="C210" s="215"/>
      <c r="D210" s="214"/>
      <c r="E210" s="301"/>
      <c r="F210" s="301"/>
      <c r="G210" s="301"/>
      <c r="H210" s="301"/>
      <c r="I210" s="301"/>
      <c r="J210" s="301"/>
      <c r="K210" s="301"/>
      <c r="L210" s="301"/>
      <c r="M210" s="301"/>
      <c r="N210" s="301"/>
      <c r="O210" s="301"/>
      <c r="P210" s="1"/>
      <c r="T210" s="378" t="s">
        <v>312</v>
      </c>
      <c r="U210" s="379"/>
      <c r="V210" s="379"/>
      <c r="W210" s="379"/>
      <c r="X210" s="379"/>
      <c r="Y210" s="379"/>
      <c r="Z210" s="1"/>
      <c r="AA210" s="14"/>
      <c r="AB210" s="213" t="str">
        <f>IF(Annexes!M13=TRUE,"OUI","NON")</f>
        <v>NON</v>
      </c>
      <c r="AC210" s="1"/>
      <c r="AD210" s="1"/>
      <c r="AE210" s="13"/>
    </row>
    <row r="211" spans="1:31" ht="16.5" hidden="1" customHeight="1">
      <c r="A211" s="99"/>
      <c r="B211" s="103"/>
      <c r="C211" s="215"/>
      <c r="D211" s="384" t="str">
        <f>IFERROR(IF('Mon Entreprise'!K8&gt;=Annexes!S20,IF(AB189&gt;=AB191,"- Le CA de référence est celui de Janvier 2019, soit une perte de "&amp;ROUND(AB189,0)&amp;" €"&amp;" ==&gt; "&amp;ROUND(AE189*100,0)&amp;" %","- Le CA de référence est celui de la création, soit une perte de "&amp;ROUND(AB191,0)&amp;" €"&amp;" ==&gt; "&amp;ROUND(AE191*100,0)&amp;" %"),IF(AB189&gt;=AB190,"- Le CA de référence est celui de Janvier 2019, soit une perte de "&amp;ROUND(AB189,0)&amp;" €"&amp;" ==&gt; "&amp;ROUND(AE189*100,0)&amp;" %","- Le CA de référence est celui de l'exercice 2019, soit une perte de "&amp;ROUND(AB190,0)&amp;" €"&amp;" ==&gt; "&amp;ROUND(AE190*100,0)&amp;" %")),"")</f>
        <v>- Le CA de référence est celui de Janvier 2019, soit une perte de 0 € ==&gt; 0 %</v>
      </c>
      <c r="E211" s="384"/>
      <c r="F211" s="384"/>
      <c r="G211" s="384"/>
      <c r="H211" s="384"/>
      <c r="I211" s="384"/>
      <c r="J211" s="384"/>
      <c r="K211" s="384"/>
      <c r="L211" s="384"/>
      <c r="M211" s="384"/>
      <c r="N211" s="384"/>
      <c r="O211" s="384"/>
      <c r="P211" s="1"/>
      <c r="T211" s="14"/>
      <c r="U211" s="379" t="s">
        <v>12</v>
      </c>
      <c r="V211" s="379"/>
      <c r="W211" s="379"/>
      <c r="X211" s="379"/>
      <c r="Y211" s="379"/>
      <c r="Z211" s="1"/>
      <c r="AA211" s="14"/>
      <c r="AB211" s="213" t="b">
        <f>Annexes!M15</f>
        <v>0</v>
      </c>
      <c r="AC211" s="1"/>
      <c r="AD211" s="1"/>
      <c r="AE211" s="13"/>
    </row>
    <row r="212" spans="1:31" ht="16.5" hidden="1" customHeight="1">
      <c r="B212" s="103"/>
      <c r="C212" s="215"/>
      <c r="D212" s="217" t="str">
        <f>IF(OR(AB208="OUI",AB211=TRUE),"- Sans ticket modérateur",IF(AND(OR(AB210="OUI",AB209="OUI"),OR(AB205&gt;=0.8,AB206&gt;=0.8,AB207&gt;=0.1)),"- La Perte de référence est plafonnée à 80 %, soit "&amp;ROUND(AB217,0)&amp;" €","- Sans ticket modérateur"))</f>
        <v>- Sans ticket modérateur</v>
      </c>
      <c r="E212" s="208"/>
      <c r="F212" s="208"/>
      <c r="G212" s="208"/>
      <c r="H212" s="208"/>
      <c r="I212" s="208"/>
      <c r="J212" s="208"/>
      <c r="K212" s="208"/>
      <c r="L212" s="208"/>
      <c r="M212" s="208"/>
      <c r="N212" s="208"/>
      <c r="O212" s="208"/>
      <c r="P212" s="1"/>
      <c r="T212" s="14"/>
      <c r="U212" s="410" t="s">
        <v>74</v>
      </c>
      <c r="V212" s="410"/>
      <c r="W212" s="410"/>
      <c r="X212" s="410"/>
      <c r="Y212" s="410"/>
      <c r="Z212" s="139"/>
      <c r="AA212" s="145"/>
      <c r="AB212" s="212" t="str">
        <f>IF('Mon Entreprise'!K8&lt;=Annexes!U26,"Oui","Non")</f>
        <v>Oui</v>
      </c>
      <c r="AC212" s="139"/>
      <c r="AD212" s="1"/>
      <c r="AE212" s="13"/>
    </row>
    <row r="213" spans="1:31" ht="16.5" hidden="1" customHeight="1" thickBot="1">
      <c r="B213" s="103"/>
      <c r="C213" s="215"/>
      <c r="D213" s="208"/>
      <c r="E213" s="208"/>
      <c r="F213" s="208"/>
      <c r="G213" s="208"/>
      <c r="H213" s="208"/>
      <c r="I213" s="208"/>
      <c r="J213" s="208"/>
      <c r="K213" s="208"/>
      <c r="L213" s="208"/>
      <c r="M213" s="208"/>
      <c r="N213" s="208"/>
      <c r="O213" s="208"/>
      <c r="P213" s="1"/>
      <c r="T213" s="14"/>
      <c r="U213" s="410" t="s">
        <v>87</v>
      </c>
      <c r="V213" s="410"/>
      <c r="W213" s="410"/>
      <c r="X213" s="410"/>
      <c r="Y213" s="410"/>
      <c r="Z213" s="139"/>
      <c r="AA213" s="145"/>
      <c r="AB213" s="212">
        <f>IF('Mon Entreprise'!K8&gt;=Annexes!S20,IF(AB189&gt;=AB191,AB189,AB191),IF(AB189&gt;=AB190,AB189,AB190))</f>
        <v>0</v>
      </c>
      <c r="AC213" s="139"/>
      <c r="AD213" s="1"/>
      <c r="AE213" s="13"/>
    </row>
    <row r="214" spans="1:31" ht="16.5" hidden="1" customHeight="1">
      <c r="B214" s="103"/>
      <c r="C214" s="215"/>
      <c r="D214" s="400" t="str">
        <f>IFERROR(IF('Mon Entreprise'!K8&gt;Annexes!U26,"Vous avez débuté votre activité après le 31 Octobre 2020, vous ne pouvez donc pas bénéficier de cette aide",IF(AB211=TRUE,IF(AB217&gt;Annexes!S6,"Dans votre cas, l'aide est Plafonnée, à "&amp;Annexes!S6&amp;" € pour le mois de Janvier","Vous pouvez bénéficier, au titre de cette aide, d'un montant de "&amp;ROUND(AB217,0)&amp;" € pour le mois de Janvier"),IF(AB214&gt;=0.5,IF(OR(AB208="OUI",AND(OR(AB210="OUI",AB209="OUI"),OR(AB205&gt;=Annexes!T5,AB206&gt;=Annexes!T5,AB207&gt;=0.1))),IF(AB217&gt;Annexes!S6,"Dans votre cas, l'aide est Plafonnée, à "&amp;Annexes!S6&amp;" € pour le mois de Janvier","Vous pouvez bénéficier, au titre de cette aide, d'un montant de "&amp;ROUND(AB217,0)&amp;" € pour le mois de Janvier"),IF(AND(OR(AB210="OUI",AB209="OUI"),OR(AB205&lt;Annexes!T5,AB206&lt;Annexes!T5)),"L'entreprise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14" s="401"/>
      <c r="F214" s="401"/>
      <c r="G214" s="401"/>
      <c r="H214" s="401"/>
      <c r="I214" s="401"/>
      <c r="J214" s="401"/>
      <c r="K214" s="401"/>
      <c r="L214" s="401"/>
      <c r="M214" s="401"/>
      <c r="N214" s="401"/>
      <c r="O214" s="402"/>
      <c r="P214" s="1"/>
      <c r="T214" s="14"/>
      <c r="U214" s="410" t="s">
        <v>88</v>
      </c>
      <c r="V214" s="410"/>
      <c r="W214" s="410"/>
      <c r="X214" s="410"/>
      <c r="Y214" s="410"/>
      <c r="Z214" s="139"/>
      <c r="AA214" s="145"/>
      <c r="AB214" s="212">
        <f>IF('Mon Entreprise'!K8&gt;=Annexes!S20,IF(AB189&gt;=AB191,AE189,AE191),IF(AB189&gt;=AB190,AE189,AE190))</f>
        <v>0</v>
      </c>
      <c r="AC214" s="139"/>
      <c r="AD214" s="1"/>
      <c r="AE214" s="13"/>
    </row>
    <row r="215" spans="1:31" ht="16.5" hidden="1" customHeight="1">
      <c r="B215" s="174"/>
      <c r="C215" s="215"/>
      <c r="D215" s="403"/>
      <c r="E215" s="404"/>
      <c r="F215" s="404"/>
      <c r="G215" s="404"/>
      <c r="H215" s="404"/>
      <c r="I215" s="404"/>
      <c r="J215" s="404"/>
      <c r="K215" s="404"/>
      <c r="L215" s="404"/>
      <c r="M215" s="404"/>
      <c r="N215" s="404"/>
      <c r="O215" s="405"/>
      <c r="P215" s="1"/>
      <c r="T215" s="14"/>
      <c r="U215" s="396" t="s">
        <v>76</v>
      </c>
      <c r="V215" s="396"/>
      <c r="W215" s="396"/>
      <c r="X215" s="396"/>
      <c r="Y215" s="396"/>
      <c r="Z215" s="139"/>
      <c r="AA215" s="145"/>
      <c r="AB215" s="212">
        <f>IF(OR(AB208="OUI",AB211=TRUE),1,IF(AND(OR(AB210="OUI",AB209="OUI"),OR(AB205&gt;=0.8,AB206&gt;=0.8,AB207&gt;=0.1)),0.8,1))</f>
        <v>1</v>
      </c>
      <c r="AC215" s="139"/>
      <c r="AD215" s="1"/>
      <c r="AE215" s="13"/>
    </row>
    <row r="216" spans="1:31" ht="16.5" hidden="1" customHeight="1">
      <c r="B216" s="103"/>
      <c r="C216" s="215"/>
      <c r="D216" s="403"/>
      <c r="E216" s="404"/>
      <c r="F216" s="404"/>
      <c r="G216" s="404"/>
      <c r="H216" s="404"/>
      <c r="I216" s="404"/>
      <c r="J216" s="404"/>
      <c r="K216" s="404"/>
      <c r="L216" s="404"/>
      <c r="M216" s="404"/>
      <c r="N216" s="404"/>
      <c r="O216" s="405"/>
      <c r="P216" s="1"/>
      <c r="T216" s="14"/>
      <c r="U216" s="396" t="s">
        <v>83</v>
      </c>
      <c r="V216" s="396"/>
      <c r="W216" s="396"/>
      <c r="X216" s="396"/>
      <c r="Y216" s="396"/>
      <c r="Z216" s="139"/>
      <c r="AA216" s="145"/>
      <c r="AB216" s="212">
        <f>IF('Mon Entreprise'!K8&gt;=Annexes!S20,IF(AB189&gt;=AB191,Y189,Y191),IF(AB189&gt;=AB190,Y189,Y190))</f>
        <v>0</v>
      </c>
      <c r="AC216" s="139"/>
      <c r="AD216" s="1"/>
      <c r="AE216" s="13"/>
    </row>
    <row r="217" spans="1:31" ht="16.5" hidden="1" customHeight="1" thickBot="1">
      <c r="B217" s="103"/>
      <c r="C217" s="215"/>
      <c r="D217" s="406"/>
      <c r="E217" s="407"/>
      <c r="F217" s="407"/>
      <c r="G217" s="407"/>
      <c r="H217" s="407"/>
      <c r="I217" s="407"/>
      <c r="J217" s="407"/>
      <c r="K217" s="407"/>
      <c r="L217" s="407"/>
      <c r="M217" s="407"/>
      <c r="N217" s="407"/>
      <c r="O217" s="408"/>
      <c r="P217" s="1"/>
      <c r="T217" s="14"/>
      <c r="U217" s="379" t="s">
        <v>109</v>
      </c>
      <c r="V217" s="379"/>
      <c r="W217" s="379"/>
      <c r="X217" s="379"/>
      <c r="Y217" s="379"/>
      <c r="Z217" s="1"/>
      <c r="AA217" s="14"/>
      <c r="AB217" s="213">
        <f>IF(AB215=1,AB213,IF(AB213*AB215&gt;1500,IF(AB213&gt;1500,AB213*AB215,"Impossible"),IF(AB213&lt;1500,AB213,1500)))</f>
        <v>0</v>
      </c>
      <c r="AC217" s="1"/>
      <c r="AD217" s="1"/>
      <c r="AE217" s="13"/>
    </row>
    <row r="218" spans="1:31" ht="16.5" hidden="1" customHeight="1">
      <c r="B218" s="103"/>
      <c r="C218" s="170"/>
      <c r="D218" s="175"/>
      <c r="E218" s="175"/>
      <c r="F218" s="175"/>
      <c r="G218" s="175"/>
      <c r="H218" s="175"/>
      <c r="I218" s="175"/>
      <c r="J218" s="175"/>
      <c r="K218" s="175"/>
      <c r="L218" s="175"/>
      <c r="M218" s="175"/>
      <c r="N218" s="175"/>
      <c r="O218" s="175"/>
      <c r="P218" s="1"/>
      <c r="T218" s="14"/>
      <c r="U218" s="213"/>
      <c r="V218" s="213"/>
      <c r="W218" s="213"/>
      <c r="X218" s="213"/>
      <c r="Y218" s="213"/>
      <c r="Z218" s="1"/>
      <c r="AA218" s="1"/>
      <c r="AB218" s="1"/>
      <c r="AC218" s="1"/>
      <c r="AD218" s="1"/>
      <c r="AE218" s="13"/>
    </row>
    <row r="219" spans="1:31" ht="16.5" hidden="1" customHeight="1">
      <c r="B219" s="103"/>
      <c r="C219" s="215"/>
      <c r="D219" s="208"/>
      <c r="E219" s="208"/>
      <c r="F219" s="208"/>
      <c r="G219" s="208"/>
      <c r="H219" s="208"/>
      <c r="I219" s="208"/>
      <c r="J219" s="208"/>
      <c r="K219" s="208"/>
      <c r="L219" s="208"/>
      <c r="M219" s="208"/>
      <c r="N219" s="208"/>
      <c r="O219" s="208"/>
      <c r="P219" s="1"/>
      <c r="T219" s="14"/>
      <c r="U219" s="379"/>
      <c r="V219" s="379"/>
      <c r="W219" s="379"/>
      <c r="X219" s="379"/>
      <c r="Y219" s="379"/>
      <c r="Z219" s="1"/>
      <c r="AA219" s="1"/>
      <c r="AB219" s="1"/>
      <c r="AC219" s="1"/>
      <c r="AD219" s="1"/>
      <c r="AE219" s="13"/>
    </row>
    <row r="220" spans="1:31" ht="16.5" hidden="1" customHeight="1">
      <c r="B220" s="103"/>
      <c r="C220" s="398" t="s">
        <v>311</v>
      </c>
      <c r="D220" s="398"/>
      <c r="E220" s="398"/>
      <c r="F220" s="398"/>
      <c r="G220" s="398"/>
      <c r="H220" s="398"/>
      <c r="I220" s="398"/>
      <c r="J220" s="398"/>
      <c r="K220" s="398"/>
      <c r="L220" s="398"/>
      <c r="M220" s="398"/>
      <c r="N220" s="398"/>
      <c r="O220" s="398"/>
      <c r="P220" s="1"/>
      <c r="T220" s="14"/>
      <c r="U220" s="213"/>
      <c r="V220" s="213"/>
      <c r="W220" s="213"/>
      <c r="X220" s="213"/>
      <c r="Y220" s="213"/>
      <c r="Z220" s="1"/>
      <c r="AA220" s="1"/>
      <c r="AB220" s="1"/>
      <c r="AC220" s="1"/>
      <c r="AD220" s="1"/>
      <c r="AE220" s="13"/>
    </row>
    <row r="221" spans="1:31" ht="16.5" hidden="1" customHeight="1">
      <c r="B221" s="103"/>
      <c r="C221" s="398"/>
      <c r="D221" s="398"/>
      <c r="E221" s="398"/>
      <c r="F221" s="398"/>
      <c r="G221" s="398"/>
      <c r="H221" s="398"/>
      <c r="I221" s="398"/>
      <c r="J221" s="398"/>
      <c r="K221" s="398"/>
      <c r="L221" s="398"/>
      <c r="M221" s="398"/>
      <c r="N221" s="398"/>
      <c r="O221" s="398"/>
      <c r="P221" s="1"/>
      <c r="T221" s="14"/>
      <c r="U221" s="1"/>
      <c r="V221" s="1"/>
      <c r="W221" s="1"/>
      <c r="X221" s="1"/>
      <c r="Y221" s="1"/>
      <c r="Z221" s="1"/>
      <c r="AA221" s="1"/>
      <c r="AB221" s="1"/>
      <c r="AC221" s="1"/>
      <c r="AD221" s="1"/>
      <c r="AE221" s="13"/>
    </row>
    <row r="222" spans="1:31" ht="16.5" hidden="1" customHeight="1">
      <c r="B222" s="174"/>
      <c r="C222" s="398"/>
      <c r="D222" s="398"/>
      <c r="E222" s="398"/>
      <c r="F222" s="398"/>
      <c r="G222" s="398"/>
      <c r="H222" s="398"/>
      <c r="I222" s="398"/>
      <c r="J222" s="398"/>
      <c r="K222" s="398"/>
      <c r="L222" s="398"/>
      <c r="M222" s="398"/>
      <c r="N222" s="398"/>
      <c r="O222" s="398"/>
      <c r="P222" s="1"/>
      <c r="T222" s="14"/>
      <c r="U222" s="1"/>
      <c r="V222" s="1"/>
      <c r="W222" s="1"/>
      <c r="X222" s="1"/>
      <c r="Y222" s="1"/>
      <c r="Z222" s="1"/>
      <c r="AA222" s="1"/>
      <c r="AB222" s="1"/>
      <c r="AC222" s="1"/>
      <c r="AD222" s="1"/>
      <c r="AE222" s="13"/>
    </row>
    <row r="223" spans="1:31" ht="30" hidden="1" customHeight="1">
      <c r="B223" s="174"/>
      <c r="C223" s="215"/>
      <c r="D223" s="214"/>
      <c r="E223" s="301" t="str">
        <f>IF('Mon Entreprise'!K8&gt;Annexes!U24,"",IF(OR(AB208="OUI",AND(OR(AB210="OUI",AB209="OUI"),OR(AB205&gt;=Annexes!T5,AB206&gt;=Annexes!T5,'Mes Aides'!AB149&gt;=0.1)),AB211=TRUE),"",IF(AND(OR(AB210="OUI",AB209="OUI"),OR(AB205&lt;Annexes!T5,AB206&lt;Annexes!T5,'Mes Aides'!AB149&lt;0.1)),"L'entreprise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23" s="301"/>
      <c r="G223" s="301"/>
      <c r="H223" s="301"/>
      <c r="I223" s="301"/>
      <c r="J223" s="301"/>
      <c r="K223" s="301"/>
      <c r="L223" s="301"/>
      <c r="M223" s="301"/>
      <c r="N223" s="301"/>
      <c r="O223" s="301"/>
      <c r="P223" s="1"/>
      <c r="T223" s="14"/>
      <c r="U223" s="396" t="s">
        <v>85</v>
      </c>
      <c r="V223" s="396"/>
      <c r="W223" s="396"/>
      <c r="X223" s="396"/>
      <c r="Y223" s="396"/>
      <c r="Z223" s="68"/>
      <c r="AA223" s="1"/>
      <c r="AB223" s="1">
        <f>IFERROR(IF(AB197="Non",0,IF(AB199&gt;=0.5,IF(AB198&gt;Annexes!S5,Annexes!S5,ROUND(AB198,0)),0)),0)</f>
        <v>0</v>
      </c>
      <c r="AC223" s="1"/>
      <c r="AD223" s="1"/>
      <c r="AE223" s="13"/>
    </row>
    <row r="224" spans="1:31" ht="16.5" hidden="1" customHeight="1">
      <c r="B224" s="174"/>
      <c r="C224" s="215"/>
      <c r="D224" s="214"/>
      <c r="E224" s="301"/>
      <c r="F224" s="301"/>
      <c r="G224" s="301"/>
      <c r="H224" s="301"/>
      <c r="I224" s="301"/>
      <c r="J224" s="301"/>
      <c r="K224" s="301"/>
      <c r="L224" s="301"/>
      <c r="M224" s="301"/>
      <c r="N224" s="301"/>
      <c r="O224" s="301"/>
      <c r="P224" s="1"/>
      <c r="T224" s="14"/>
      <c r="U224" s="396" t="s">
        <v>84</v>
      </c>
      <c r="V224" s="396"/>
      <c r="W224" s="396"/>
      <c r="X224" s="396"/>
      <c r="Y224" s="396"/>
      <c r="Z224" s="68"/>
      <c r="AA224" s="1"/>
      <c r="AB224" s="1">
        <f>IFERROR(IF('Mon Entreprise'!K8&gt;Annexes!U26,0,IF(AB211=TRUE,IF(AB217&gt;Annexes!S6,Annexes!S6,ROUND(AB217,0)),IF(AB214&gt;=0.5,IF(OR(AB208="OUI",AND(OR(AB210="OUI",AB209="OUI"),OR(AB205&gt;=Annexes!T5,AB206&gt;=Annexes!T5,AB207&gt;=0.1))),IF(AB217&gt;Annexes!S6,Annexes!S6,ROUND(AB217,0)),IF(AND(OR(AB210="OUI",AB209="OUI"),OR(AB205&lt;Annexes!T5,AB206&lt;Annexes!T5)),0,0)),0))),0)</f>
        <v>0</v>
      </c>
      <c r="AC224" s="1"/>
      <c r="AD224" s="1"/>
      <c r="AE224" s="13"/>
    </row>
    <row r="225" spans="2:31" ht="16.5" hidden="1" customHeight="1">
      <c r="B225" s="174"/>
      <c r="C225" s="215"/>
      <c r="D225" s="301" t="str">
        <f>IFERROR(IF('Mon Entreprise'!K8&gt;=Annexes!S20,IF(AB189&gt;=AB191,"- Le CA de référence est celui de Janvier 2019, soit une perte de "&amp;ROUND(AB189,0)&amp;" €"&amp;" ==&gt; "&amp;ROUND(AE189*100,0)&amp;" %","- Le CA de référence est celui de la création, soit une perte de "&amp;ROUND(AB191,0)&amp;" €"&amp;" ==&gt; "&amp;ROUND(AE191*100,0)&amp;" %"),IF(AB189&gt;=AB190,"- Le CA de référence est celui de Janvier 2019, soit une perte de "&amp;ROUND(AB189,0)&amp;" €"&amp;" ==&gt; "&amp;ROUND(AE189*100,0)&amp;" %","- Le CA de référence est celui de l'exercice 2019, soit une perte de "&amp;ROUND(AB190,0)&amp;" €"&amp;" ==&gt; "&amp;ROUND(AE190*100,0)&amp;" %")),"")</f>
        <v>- Le CA de référence est celui de Janvier 2019, soit une perte de 0 € ==&gt; 0 %</v>
      </c>
      <c r="E225" s="301"/>
      <c r="F225" s="301"/>
      <c r="G225" s="301"/>
      <c r="H225" s="301"/>
      <c r="I225" s="301"/>
      <c r="J225" s="301"/>
      <c r="K225" s="301"/>
      <c r="L225" s="301"/>
      <c r="M225" s="301"/>
      <c r="N225" s="301"/>
      <c r="O225" s="301"/>
      <c r="P225" s="208"/>
      <c r="Q225" s="208"/>
      <c r="T225" s="14"/>
      <c r="U225" s="396" t="s">
        <v>106</v>
      </c>
      <c r="V225" s="396"/>
      <c r="W225" s="396"/>
      <c r="X225" s="396"/>
      <c r="Y225" s="396"/>
      <c r="Z225" s="68"/>
      <c r="AA225" s="1"/>
      <c r="AB225" s="1">
        <f>IFERROR(IF('Mon Entreprise'!K8&gt;Annexes!U26,0,IF(AB211=TRUE,IF(AB216=0,0,IF(AB213&lt;AB216*0.2,ROUND(AB213,0),IF(AB216*0.2&gt;=200000,Annexes!S8,ROUND(AB216*0.2,0)))),IF(OR(AB208="OUI",AND(AB209="OUI",OR(AB205&gt;=0.8,AB206&gt;=0.8,AB207&gt;=0.1))),IF(AB214&gt;=0.7,IF(AB213&lt;AB216*0.2,ROUND(AB213,0),IF(AB216*0.2&gt;=200000,Annexes!S8,ROUND(AB216*0.2,0))),IF(AB214&gt;=0.5,IF(AB213&lt;AB216*0.15,ROUND(AB213,0),IF(AB216*0.15&gt;=200000,Annexes!S8,ROUND(AB216*0.15,0))),IF(AND(AB210="OUI",OR(AB205&gt;=0.8,AB206&gt;=0.8,AB207&gt;=0.1),AB214&gt;=0.7),IF(AB213&lt;AB216*0.2,ROUND(AB213,0),IF(AB216*0.2&gt;=200000,Annexes!S8,ROUND(AB216*0.2,0))),0))),IF(AND(AB210="OUI",OR(AB205&gt;=0.8,AB206&gt;=0.8,AB207&gt;=0.1),AB214&gt;=0.7),IF(AB213&lt;AB216*0.2,ROUND(AB213,0),IF(AB216*0.2&gt;=200000,Annexes!S8,ROUND(AB216*0.2,0))),0)))),0)</f>
        <v>0</v>
      </c>
      <c r="AC225" s="1"/>
      <c r="AD225" s="1"/>
      <c r="AE225" s="13"/>
    </row>
    <row r="226" spans="2:31" ht="16.5" hidden="1" customHeight="1">
      <c r="B226" s="103"/>
      <c r="C226" s="215"/>
      <c r="D226" s="384" t="str">
        <f>IF(AB211=TRUE,"- L'entreprise peut bénéficier d'une aide de 20 % du CA de référence, plafonnée à 200 000 €",IF(OR(AB208="OUI",AND(AB209="OUI",OR(AB205&gt;=0.8,AB206&gt;=0.8,AB207&gt;=0.1))),IF(AB214&gt;=0.7,"- L'entreprise peut bénéficier d'une aide de 20 % du CA de référence, plafonnée à 200 000 €",IF(AB214&gt;=0.5,"- L'entreprise peut bénéficier d'une aide de 15 % du CA de référence, plafonnée à 200 000 €","- L'entreprise n'a subi ni de fermeture administrative au mois de Janvier, ni de perte d'au moins 50 % de son CA")),IF(AND(AB210="OUI",OR(AB205&gt;=0.8,AB206&gt;=0.8,AB207&gt;=0.1),AB214&gt;=0.5),"-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6" s="384"/>
      <c r="F226" s="384"/>
      <c r="G226" s="384"/>
      <c r="H226" s="384"/>
      <c r="I226" s="384"/>
      <c r="J226" s="384"/>
      <c r="K226" s="384"/>
      <c r="L226" s="384"/>
      <c r="M226" s="384"/>
      <c r="N226" s="384"/>
      <c r="O226" s="384"/>
      <c r="P226" s="208"/>
      <c r="Q226" s="208"/>
      <c r="T226" s="14"/>
      <c r="U226" s="1"/>
      <c r="V226" s="1"/>
      <c r="W226" s="1"/>
      <c r="X226" s="1"/>
      <c r="Y226" s="1"/>
      <c r="Z226" s="1"/>
      <c r="AA226" s="1"/>
      <c r="AB226" s="1"/>
      <c r="AC226" s="1"/>
      <c r="AD226" s="1"/>
      <c r="AE226" s="13"/>
    </row>
    <row r="227" spans="2:31" ht="16.5" hidden="1" customHeight="1">
      <c r="B227" s="169"/>
      <c r="C227" s="215"/>
      <c r="D227" s="384"/>
      <c r="E227" s="384"/>
      <c r="F227" s="384"/>
      <c r="G227" s="384"/>
      <c r="H227" s="384"/>
      <c r="I227" s="384"/>
      <c r="J227" s="384"/>
      <c r="K227" s="384"/>
      <c r="L227" s="384"/>
      <c r="M227" s="384"/>
      <c r="N227" s="384"/>
      <c r="O227" s="384"/>
      <c r="P227" s="208"/>
      <c r="Q227" s="208"/>
      <c r="T227" s="14"/>
      <c r="U227" s="1"/>
      <c r="V227" s="1"/>
      <c r="W227" s="1"/>
      <c r="X227" s="1"/>
      <c r="Y227" s="1"/>
      <c r="Z227" s="1"/>
      <c r="AA227" s="1"/>
      <c r="AB227" s="1"/>
      <c r="AC227" s="1"/>
      <c r="AD227" s="1"/>
      <c r="AE227" s="13"/>
    </row>
    <row r="228" spans="2:31" ht="16.5" hidden="1" customHeight="1" thickBot="1">
      <c r="B228" s="169"/>
      <c r="C228" s="215"/>
      <c r="D228" s="207"/>
      <c r="E228" s="208"/>
      <c r="F228" s="208"/>
      <c r="G228" s="208"/>
      <c r="H228" s="208"/>
      <c r="I228" s="208"/>
      <c r="J228" s="208"/>
      <c r="K228" s="208"/>
      <c r="L228" s="208"/>
      <c r="M228" s="208"/>
      <c r="N228" s="208"/>
      <c r="O228" s="208"/>
      <c r="P228" s="208"/>
      <c r="Q228" s="208"/>
      <c r="T228" s="14"/>
      <c r="U228" s="1"/>
      <c r="V228" s="1"/>
      <c r="W228" s="1"/>
      <c r="X228" s="1"/>
      <c r="Y228" s="1"/>
      <c r="Z228" s="1"/>
      <c r="AA228" s="1"/>
      <c r="AB228" s="1"/>
      <c r="AC228" s="1"/>
      <c r="AD228" s="1"/>
      <c r="AE228" s="13"/>
    </row>
    <row r="229" spans="2:31" ht="16.5" hidden="1" customHeight="1">
      <c r="B229" s="103"/>
      <c r="C229" s="181"/>
      <c r="D229" s="409" t="str">
        <f>IFERROR(IF('Mon Entreprise'!K8&gt;Annexes!U26,"Vous avez débuté votre activité après le 31 Octobre 2020, vous ne pouvez donc pas bénéficier de cette aide",IF(AB211=TRUE,IF(AB216=0,"Vous n'avez pas indiqué de chiffre d'affaires de référence",IF(AB213&lt;AB216*0.2,"Dans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Janvier"))),IF(OR(AB208="OUI",AND(AB209="OUI",OR(AB205&gt;=0.8,AB206&gt;=0.8,AB207&gt;=0.1))),IF(AB214&gt;=0.7,IF(AB213&lt;AB216*0.2,"Dans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Janvier")),IF(AB214&gt;=0.5,IF(AB213&lt;AB216*0.15,"Dans votre cas, la perte est inférieure à 15 % du CA, l'aide est donc plafonnée à la perte, soit "&amp;ROUND(AB213,0)&amp;" € pour le mois de Janvier",IF(AB216*0.15&gt;=200000,"Dans votre cas, l'aide est plafonnée, à "&amp;Annexes!S8&amp;" € pour le mois de Janvier","Vous pouvez bénéficier, au titre de cette aide, d'un montant de "&amp;ROUND(AB216*0.15,0)&amp;" € pour le mois de Janvier")),IF(AND(AB210="OUI",OR(AB205&gt;=0.8,AB206&gt;=0.8,AB207&gt;=0.1),AB214&gt;=0.7),IF(AB213&lt;AB216*0.2,"Dans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Janvier")),"L'entreprise ne fait ni partie des fermetures administratives au mois de Janvier, ni des activités mentionnées en annexe 1 (S1) ou 2 (S1 bis) avec 50 % de perte en Janvier ou 3 avec 70 % de Perte en Janvier"))),IF(AND(AB210="OUI",OR(AB205&gt;=0.8,AB206&gt;=0.8,AB207&gt;=0.1),AB214&gt;=0.7),IF(AB213&lt;AB216*0.2,"Dans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9" s="401"/>
      <c r="F229" s="401"/>
      <c r="G229" s="401"/>
      <c r="H229" s="401"/>
      <c r="I229" s="401"/>
      <c r="J229" s="401"/>
      <c r="K229" s="401"/>
      <c r="L229" s="401"/>
      <c r="M229" s="401"/>
      <c r="N229" s="401"/>
      <c r="O229" s="402"/>
      <c r="P229" s="208"/>
      <c r="Q229" s="208"/>
      <c r="T229" s="14"/>
      <c r="U229" s="1"/>
      <c r="V229" s="1"/>
      <c r="W229" s="1"/>
      <c r="X229" s="1"/>
      <c r="Y229" s="1"/>
      <c r="Z229" s="1"/>
      <c r="AA229" s="1"/>
      <c r="AB229" s="1"/>
      <c r="AC229" s="1"/>
      <c r="AD229" s="1"/>
      <c r="AE229" s="13"/>
    </row>
    <row r="230" spans="2:31" ht="16.5" hidden="1" customHeight="1">
      <c r="B230" s="103"/>
      <c r="C230" s="181"/>
      <c r="D230" s="403"/>
      <c r="E230" s="404"/>
      <c r="F230" s="404"/>
      <c r="G230" s="404"/>
      <c r="H230" s="404"/>
      <c r="I230" s="404"/>
      <c r="J230" s="404"/>
      <c r="K230" s="404"/>
      <c r="L230" s="404"/>
      <c r="M230" s="404"/>
      <c r="N230" s="404"/>
      <c r="O230" s="405"/>
      <c r="P230" s="208"/>
      <c r="Q230" s="208"/>
      <c r="T230" s="14"/>
      <c r="U230" s="1"/>
      <c r="V230" s="1"/>
      <c r="W230" s="1"/>
      <c r="X230" s="1"/>
      <c r="Y230" s="1"/>
      <c r="Z230" s="1"/>
      <c r="AA230" s="1"/>
      <c r="AB230" s="1"/>
      <c r="AC230" s="1"/>
      <c r="AD230" s="1"/>
      <c r="AE230" s="13"/>
    </row>
    <row r="231" spans="2:31" ht="16.5" hidden="1" customHeight="1">
      <c r="B231" s="103"/>
      <c r="C231" s="181"/>
      <c r="D231" s="403"/>
      <c r="E231" s="404"/>
      <c r="F231" s="404"/>
      <c r="G231" s="404"/>
      <c r="H231" s="404"/>
      <c r="I231" s="404"/>
      <c r="J231" s="404"/>
      <c r="K231" s="404"/>
      <c r="L231" s="404"/>
      <c r="M231" s="404"/>
      <c r="N231" s="404"/>
      <c r="O231" s="405"/>
      <c r="P231" s="176"/>
      <c r="Q231" s="176"/>
      <c r="T231" s="14"/>
      <c r="U231" s="1"/>
      <c r="V231" s="1"/>
      <c r="W231" s="1"/>
      <c r="X231" s="1"/>
      <c r="Y231" s="1"/>
      <c r="Z231" s="1"/>
      <c r="AA231" s="1"/>
      <c r="AB231" s="1"/>
      <c r="AC231" s="1"/>
      <c r="AD231" s="1"/>
      <c r="AE231" s="13"/>
    </row>
    <row r="232" spans="2:31" ht="16.5" hidden="1" customHeight="1" thickBot="1">
      <c r="B232" s="103"/>
      <c r="C232" s="181"/>
      <c r="D232" s="406"/>
      <c r="E232" s="407"/>
      <c r="F232" s="407"/>
      <c r="G232" s="407"/>
      <c r="H232" s="407"/>
      <c r="I232" s="407"/>
      <c r="J232" s="407"/>
      <c r="K232" s="407"/>
      <c r="L232" s="407"/>
      <c r="M232" s="407"/>
      <c r="N232" s="407"/>
      <c r="O232" s="408"/>
      <c r="T232" s="14"/>
      <c r="U232" s="1"/>
      <c r="V232" s="1"/>
      <c r="W232" s="1"/>
      <c r="X232" s="1"/>
      <c r="Y232" s="1"/>
      <c r="Z232" s="1"/>
      <c r="AA232" s="1"/>
      <c r="AB232" s="1"/>
      <c r="AC232" s="1"/>
      <c r="AD232" s="1"/>
      <c r="AE232" s="13"/>
    </row>
    <row r="233" spans="2:31" hidden="1">
      <c r="B233" s="5"/>
      <c r="C233" s="5"/>
      <c r="D233" s="218"/>
      <c r="E233" s="218"/>
      <c r="F233" s="218"/>
      <c r="G233" s="218"/>
      <c r="H233" s="218"/>
      <c r="I233" s="218"/>
      <c r="J233" s="218"/>
      <c r="K233" s="218"/>
      <c r="L233" s="218"/>
      <c r="M233" s="218"/>
      <c r="N233" s="218"/>
      <c r="O233" s="218"/>
      <c r="P233" s="178"/>
      <c r="Q233" s="178"/>
      <c r="T233" s="14"/>
      <c r="U233" s="1"/>
      <c r="V233" s="1"/>
      <c r="W233" s="1"/>
      <c r="X233" s="1"/>
      <c r="Y233" s="1"/>
      <c r="Z233" s="1"/>
      <c r="AA233" s="1"/>
      <c r="AB233" s="1"/>
      <c r="AC233" s="1"/>
      <c r="AD233" s="1"/>
      <c r="AE233" s="13"/>
    </row>
    <row r="234" spans="2:31">
      <c r="B234" s="5"/>
      <c r="C234" s="5"/>
      <c r="D234" s="218"/>
      <c r="E234" s="218"/>
      <c r="F234" s="218"/>
      <c r="G234" s="218"/>
      <c r="H234" s="218"/>
      <c r="I234" s="218"/>
      <c r="J234" s="218"/>
      <c r="K234" s="218"/>
      <c r="L234" s="218"/>
      <c r="M234" s="218"/>
      <c r="N234" s="218"/>
      <c r="O234" s="218"/>
      <c r="P234" s="178"/>
      <c r="Q234" s="178"/>
      <c r="T234" s="14"/>
      <c r="U234" s="1"/>
      <c r="V234" s="1"/>
      <c r="W234" s="1"/>
      <c r="X234" s="1"/>
      <c r="Y234" s="1"/>
      <c r="Z234" s="1"/>
      <c r="AA234" s="1"/>
      <c r="AB234" s="1"/>
      <c r="AC234" s="1"/>
      <c r="AD234" s="1"/>
      <c r="AE234" s="13"/>
    </row>
    <row r="235" spans="2:31" ht="15" customHeight="1" thickBot="1">
      <c r="B235" s="225"/>
      <c r="C235" s="414" t="s">
        <v>316</v>
      </c>
      <c r="D235" s="414"/>
      <c r="E235" s="414"/>
      <c r="F235" s="414"/>
      <c r="G235" s="414"/>
      <c r="H235" s="414"/>
      <c r="I235" s="226"/>
      <c r="J235" s="226"/>
      <c r="K235" s="226"/>
      <c r="L235" s="226"/>
      <c r="M235" s="226"/>
      <c r="N235" s="226"/>
      <c r="O235" s="226"/>
      <c r="T235" s="15"/>
      <c r="U235" s="10"/>
      <c r="V235" s="10"/>
      <c r="W235" s="10"/>
      <c r="X235" s="10"/>
      <c r="Y235" s="10"/>
      <c r="Z235" s="10"/>
      <c r="AA235" s="10"/>
      <c r="AB235" s="10"/>
      <c r="AC235" s="10"/>
      <c r="AD235" s="10"/>
      <c r="AE235" s="4"/>
    </row>
    <row r="236" spans="2:31" ht="15" customHeight="1">
      <c r="B236" s="63"/>
      <c r="C236" s="24"/>
      <c r="D236" s="24"/>
      <c r="E236" s="24"/>
      <c r="F236" s="24"/>
      <c r="G236" s="24"/>
      <c r="H236" s="63"/>
      <c r="I236" s="1"/>
      <c r="J236" s="1"/>
      <c r="K236" s="1"/>
      <c r="L236" s="1"/>
      <c r="M236" s="1"/>
      <c r="N236" s="1"/>
      <c r="O236" s="1"/>
      <c r="T236" s="16"/>
      <c r="U236" s="11"/>
      <c r="V236" s="11"/>
      <c r="W236" s="11"/>
      <c r="X236" s="11"/>
      <c r="Y236" s="11"/>
      <c r="Z236" s="11"/>
      <c r="AA236" s="11"/>
      <c r="AB236" s="11"/>
      <c r="AC236" s="11"/>
      <c r="AD236" s="11"/>
      <c r="AE236" s="12"/>
    </row>
    <row r="237" spans="2:31" ht="15.75" hidden="1" customHeight="1">
      <c r="B237" s="103"/>
      <c r="C237" s="385" t="s">
        <v>319</v>
      </c>
      <c r="D237" s="385"/>
      <c r="E237" s="385"/>
      <c r="F237" s="385"/>
      <c r="G237" s="385"/>
      <c r="H237" s="385"/>
      <c r="I237" s="385"/>
      <c r="J237" s="385"/>
      <c r="K237" s="385"/>
      <c r="L237" s="385"/>
      <c r="M237" s="385"/>
      <c r="N237" s="385"/>
      <c r="O237" s="385"/>
      <c r="P237" s="1"/>
      <c r="T237" s="14"/>
      <c r="U237" s="1"/>
      <c r="V237" s="1"/>
      <c r="W237" s="1"/>
      <c r="X237" s="1"/>
      <c r="Y237" s="1"/>
      <c r="Z237" s="1"/>
      <c r="AA237" s="1"/>
      <c r="AB237" s="1"/>
      <c r="AC237" s="1"/>
      <c r="AD237" s="1"/>
      <c r="AE237" s="13"/>
    </row>
    <row r="238" spans="2:31" ht="15.75" hidden="1">
      <c r="B238" s="103"/>
      <c r="C238" s="258"/>
      <c r="D238" s="60" t="s">
        <v>130</v>
      </c>
      <c r="E238" s="258"/>
      <c r="F238" s="258"/>
      <c r="G238" s="258"/>
      <c r="H238" s="258"/>
      <c r="I238" s="258"/>
      <c r="J238" s="258"/>
      <c r="K238" s="258"/>
      <c r="L238" s="258"/>
      <c r="M238" s="258"/>
      <c r="N238" s="258"/>
      <c r="O238" s="258"/>
      <c r="P238" s="1"/>
      <c r="T238" s="25"/>
      <c r="U238" s="379" t="s">
        <v>20</v>
      </c>
      <c r="V238" s="379"/>
      <c r="W238" s="379"/>
      <c r="X238" s="1"/>
      <c r="Y238" s="260" t="s">
        <v>6</v>
      </c>
      <c r="Z238" s="260"/>
      <c r="AA238" s="260"/>
      <c r="AB238" s="260" t="s">
        <v>23</v>
      </c>
      <c r="AC238" s="260"/>
      <c r="AD238" s="260"/>
      <c r="AE238" s="26" t="s">
        <v>24</v>
      </c>
    </row>
    <row r="239" spans="2:31" ht="16.5" thickBot="1">
      <c r="B239" s="103"/>
      <c r="C239" s="258"/>
      <c r="D239" s="60"/>
      <c r="E239" s="258"/>
      <c r="F239" s="258"/>
      <c r="G239" s="258"/>
      <c r="H239" s="258"/>
      <c r="I239" s="258"/>
      <c r="J239" s="258"/>
      <c r="K239" s="258"/>
      <c r="L239" s="258"/>
      <c r="M239" s="258"/>
      <c r="N239" s="258"/>
      <c r="O239" s="258"/>
      <c r="P239" s="1"/>
      <c r="T239" s="25"/>
      <c r="U239" s="260"/>
      <c r="V239" s="260"/>
      <c r="W239" s="260"/>
      <c r="X239" s="1"/>
      <c r="Y239" s="260"/>
      <c r="Z239" s="260"/>
      <c r="AA239" s="260"/>
      <c r="AB239" s="260"/>
      <c r="AC239" s="260"/>
      <c r="AD239" s="260"/>
      <c r="AE239" s="26"/>
    </row>
    <row r="240" spans="2:31" ht="15.75" customHeight="1">
      <c r="B240" s="103"/>
      <c r="C240" s="258"/>
      <c r="D240" s="386" t="str">
        <f>IFERROR(IF(AND(AB274=0,AB275=0,AB276=0),"Vous ne pouvez pas bénéficier du fonds de solidarité pour le mois de Février 2021",IF(AND(AB276&gt;AB275,AB276&gt;AB274),"Votre entreprise peut bénéficier d'une aide de "&amp;AB276&amp;" €, au titre d'une fermeture Administrative avec une perte de 20 % de CA, ou d'une perte d'au moins 50 % ou 70 % du CA pour les activités mentionnées en annexe 1,"&amp;" ou d'une perte d'au moins 70 % du CA pour les activités mentionnées en annexe 2 ou 3 ou dans un centre commercial",IF(AB275&gt;AB274,"Votre entreprise peut bénéficier d'une aide de "&amp;AB275&amp;" €, au titre d'une fermeture Administrative avec une êrte de 20 % du CA, ou d'une perte d'au moins 50 % du CA pour les activités mentionnées en annexe 1,"&amp;" ou en annexe 2 ou 3 ou dans un centre commercial ayant une perte de CA d'au moins 80 % entre le 15/03/2020 et le 15/05/2020 ou au moins de Novembre 2020","Votre entreprise peut bénéficier d'une aide de "&amp;AB274&amp;" €, au titre d'une perte d'au-moins 50 % de votre CA en Février 2021"))),"Vous n'avez pas indiqué de chiffre d'affaires de référence")</f>
        <v>Vous ne pouvez pas bénéficier du fonds de solidarité pour le mois de Février 2021</v>
      </c>
      <c r="E240" s="387"/>
      <c r="F240" s="387"/>
      <c r="G240" s="387"/>
      <c r="H240" s="387"/>
      <c r="I240" s="387"/>
      <c r="J240" s="387"/>
      <c r="K240" s="387"/>
      <c r="L240" s="387"/>
      <c r="M240" s="387"/>
      <c r="N240" s="387"/>
      <c r="O240" s="388"/>
      <c r="P240" s="1"/>
      <c r="T240" s="378" t="s">
        <v>318</v>
      </c>
      <c r="U240" s="379"/>
      <c r="V240" s="379"/>
      <c r="W240" s="379"/>
      <c r="X240" s="1"/>
      <c r="Y240" s="7">
        <f>'Mon Entreprise'!I89</f>
        <v>0</v>
      </c>
      <c r="Z240" s="133"/>
      <c r="AA240" s="21"/>
      <c r="AB240" s="7">
        <f>IF('Mon Entreprise'!I89-'Mon Entreprise'!M89&lt;0,0,'Mon Entreprise'!I89-'Mon Entreprise'!M89)</f>
        <v>0</v>
      </c>
      <c r="AC240" s="13"/>
      <c r="AD240" s="1"/>
      <c r="AE240" s="27">
        <f>IFERROR(1-'Mon Entreprise'!M89/'Mon Entreprise'!I89,0)</f>
        <v>0</v>
      </c>
    </row>
    <row r="241" spans="2:31" ht="15.75" customHeight="1">
      <c r="B241" s="103"/>
      <c r="C241" s="258"/>
      <c r="D241" s="389"/>
      <c r="E241" s="390"/>
      <c r="F241" s="390"/>
      <c r="G241" s="390"/>
      <c r="H241" s="390"/>
      <c r="I241" s="390"/>
      <c r="J241" s="390"/>
      <c r="K241" s="390"/>
      <c r="L241" s="390"/>
      <c r="M241" s="390"/>
      <c r="N241" s="390"/>
      <c r="O241" s="391"/>
      <c r="P241" s="1"/>
      <c r="T241" s="378" t="s">
        <v>25</v>
      </c>
      <c r="U241" s="379"/>
      <c r="V241" s="379"/>
      <c r="W241" s="379"/>
      <c r="X241" s="1"/>
      <c r="Y241" s="7">
        <f>'Mon Entreprise'!I63</f>
        <v>0</v>
      </c>
      <c r="Z241" s="133"/>
      <c r="AA241" s="21"/>
      <c r="AB241" s="7">
        <f>IF('Mon Entreprise'!I63-'Mon Entreprise'!M89&lt;0,0,'Mon Entreprise'!I63-'Mon Entreprise'!M89)</f>
        <v>0</v>
      </c>
      <c r="AC241" s="36"/>
      <c r="AD241" s="1"/>
      <c r="AE241" s="27">
        <f>IFERROR(1-'Mon Entreprise'!M89/'Mon Entreprise'!I63,0)</f>
        <v>0</v>
      </c>
    </row>
    <row r="242" spans="2:31" ht="15.75" customHeight="1">
      <c r="B242" s="103"/>
      <c r="C242" s="258"/>
      <c r="D242" s="389"/>
      <c r="E242" s="390"/>
      <c r="F242" s="390"/>
      <c r="G242" s="390"/>
      <c r="H242" s="390"/>
      <c r="I242" s="390"/>
      <c r="J242" s="390"/>
      <c r="K242" s="390"/>
      <c r="L242" s="390"/>
      <c r="M242" s="390"/>
      <c r="N242" s="390"/>
      <c r="O242" s="391"/>
      <c r="P242" s="1"/>
      <c r="T242" s="395" t="s">
        <v>22</v>
      </c>
      <c r="U242" s="396"/>
      <c r="V242" s="396"/>
      <c r="W242" s="396"/>
      <c r="X242" s="139"/>
      <c r="Y242" s="140" t="str">
        <f>IF('Mon Entreprise'!I98="","NC",'Mon Entreprise'!I98)</f>
        <v>NC</v>
      </c>
      <c r="Z242" s="193"/>
      <c r="AA242" s="194"/>
      <c r="AB242" s="143" t="str">
        <f>IFERROR(IF('Mon Entreprise'!I98-'Mon Entreprise'!M89&lt;0,0,'Mon Entreprise'!I98-'Mon Entreprise'!M89),"NC")</f>
        <v>NC</v>
      </c>
      <c r="AC242" s="195"/>
      <c r="AD242" s="139"/>
      <c r="AE242" s="146" t="str">
        <f>IFERROR(1-'Mon Entreprise'!M89/'Mon Entreprise'!I98,"NC")</f>
        <v>NC</v>
      </c>
    </row>
    <row r="243" spans="2:31" ht="15.75" customHeight="1">
      <c r="B243" s="103"/>
      <c r="C243" s="258"/>
      <c r="D243" s="389"/>
      <c r="E243" s="390"/>
      <c r="F243" s="390"/>
      <c r="G243" s="390"/>
      <c r="H243" s="390"/>
      <c r="I243" s="390"/>
      <c r="J243" s="390"/>
      <c r="K243" s="390"/>
      <c r="L243" s="390"/>
      <c r="M243" s="390"/>
      <c r="N243" s="390"/>
      <c r="O243" s="391"/>
      <c r="P243" s="1"/>
      <c r="T243" s="14"/>
      <c r="U243" s="1"/>
      <c r="V243" s="1"/>
      <c r="W243" s="1"/>
      <c r="X243" s="1"/>
      <c r="Y243" s="1"/>
      <c r="Z243" s="1"/>
      <c r="AA243" s="1"/>
      <c r="AB243" s="1"/>
      <c r="AC243" s="1"/>
      <c r="AD243" s="1"/>
      <c r="AE243" s="13"/>
    </row>
    <row r="244" spans="2:31" ht="16.5" customHeight="1" thickBot="1">
      <c r="B244" s="103"/>
      <c r="C244" s="258"/>
      <c r="D244" s="392"/>
      <c r="E244" s="393"/>
      <c r="F244" s="393"/>
      <c r="G244" s="393"/>
      <c r="H244" s="393"/>
      <c r="I244" s="393"/>
      <c r="J244" s="393"/>
      <c r="K244" s="393"/>
      <c r="L244" s="393"/>
      <c r="M244" s="393"/>
      <c r="N244" s="393"/>
      <c r="O244" s="394"/>
      <c r="P244" s="1"/>
      <c r="T244" s="14"/>
      <c r="AC244" s="1"/>
      <c r="AD244" s="1"/>
      <c r="AE244" s="13"/>
    </row>
    <row r="245" spans="2:31" ht="15.75">
      <c r="B245" s="103"/>
      <c r="C245" s="258"/>
      <c r="D245" s="60"/>
      <c r="E245" s="258"/>
      <c r="F245" s="258"/>
      <c r="G245" s="258"/>
      <c r="H245" s="258"/>
      <c r="I245" s="258"/>
      <c r="J245" s="258"/>
      <c r="K245" s="258"/>
      <c r="L245" s="258"/>
      <c r="M245" s="258"/>
      <c r="N245" s="258"/>
      <c r="O245" s="258"/>
      <c r="P245" s="1"/>
      <c r="T245" s="14"/>
      <c r="AC245" s="1"/>
      <c r="AD245" s="1"/>
      <c r="AE245" s="13"/>
    </row>
    <row r="246" spans="2:31" ht="15.75" hidden="1">
      <c r="B246" s="103"/>
      <c r="C246" s="78"/>
      <c r="D246" s="78"/>
      <c r="E246" s="78"/>
      <c r="F246" s="78"/>
      <c r="G246" s="78"/>
      <c r="H246" s="78"/>
      <c r="I246" s="78"/>
      <c r="J246" s="78"/>
      <c r="K246" s="78"/>
      <c r="L246" s="78"/>
      <c r="M246" s="78"/>
      <c r="N246" s="78"/>
      <c r="O246" s="78"/>
      <c r="P246" s="1"/>
      <c r="T246" s="14"/>
      <c r="AC246" s="1"/>
      <c r="AD246" s="1"/>
      <c r="AE246" s="13"/>
    </row>
    <row r="247" spans="2:31" ht="15.75" hidden="1">
      <c r="B247" s="103"/>
      <c r="C247" s="258"/>
      <c r="D247" s="60"/>
      <c r="E247" s="258"/>
      <c r="F247" s="258"/>
      <c r="G247" s="258"/>
      <c r="H247" s="258"/>
      <c r="I247" s="258"/>
      <c r="J247" s="258"/>
      <c r="K247" s="258"/>
      <c r="L247" s="258"/>
      <c r="M247" s="258"/>
      <c r="N247" s="258"/>
      <c r="O247" s="258"/>
      <c r="P247" s="1"/>
      <c r="T247" s="14"/>
      <c r="U247" s="1"/>
      <c r="V247" s="1"/>
      <c r="W247" s="1"/>
      <c r="X247" s="1"/>
      <c r="Y247" s="1"/>
      <c r="Z247" s="1"/>
      <c r="AA247" s="1"/>
      <c r="AB247" s="1"/>
      <c r="AC247" s="1"/>
      <c r="AD247" s="1"/>
      <c r="AE247" s="13"/>
    </row>
    <row r="248" spans="2:31" ht="15.75" hidden="1">
      <c r="B248" s="103"/>
      <c r="C248" s="258" t="s">
        <v>317</v>
      </c>
      <c r="D248" s="60"/>
      <c r="E248" s="258"/>
      <c r="F248" s="258"/>
      <c r="G248" s="258"/>
      <c r="H248" s="258"/>
      <c r="I248" s="258"/>
      <c r="J248" s="258"/>
      <c r="K248" s="258"/>
      <c r="L248" s="258"/>
      <c r="M248" s="258"/>
      <c r="N248" s="258"/>
      <c r="O248" s="258"/>
      <c r="P248" s="1"/>
      <c r="T248" s="14"/>
      <c r="U248" s="377" t="s">
        <v>74</v>
      </c>
      <c r="V248" s="377"/>
      <c r="W248" s="377"/>
      <c r="X248" s="377"/>
      <c r="Y248" s="377"/>
      <c r="Z248" s="1"/>
      <c r="AA248" s="14"/>
      <c r="AB248" s="257" t="str">
        <f>IF('Mon Entreprise'!K8&lt;=Annexes!U24,"Oui","Non")</f>
        <v>Oui</v>
      </c>
      <c r="AC248" s="1"/>
      <c r="AD248" s="1"/>
      <c r="AE248" s="13"/>
    </row>
    <row r="249" spans="2:31" ht="15.75" hidden="1">
      <c r="B249" s="169"/>
      <c r="C249" s="258"/>
      <c r="D249" s="60" t="str">
        <f>IFERROR(IF('Mon Entreprise'!K8&gt;=Annexes!S20,IF(AB240&gt;=AB242,"Le CA de référence est celui de Février 2019, soit une perte de "&amp;ROUND(AB240,0)&amp;" €"&amp;" ==&gt; "&amp;ROUND(AE240*100,0)&amp;" %","Le CA de référence est celui de la création, soit une perte de "&amp;ROUND(AB242,0)&amp;" €"&amp;" ==&gt; "&amp;ROUND(AE242*100,0)&amp;" %"),IF(AB240&gt;=AB241,"Le CA de référence est celui de Février 2019, soit une perte de "&amp;ROUND(AB240,0)&amp;" €"&amp;" ==&gt; "&amp;ROUND(AE240*100,0)&amp;" %","Le CA de référence est celui de de l'exercice 2019, soit une perte de "&amp;ROUND(AB241,0)&amp;" €"&amp;" ==&gt; "&amp;ROUND(AE241*100,0)&amp;" %")),"")</f>
        <v>Le CA de référence est celui de Février 2019, soit une perte de 0 € ==&gt; 0 %</v>
      </c>
      <c r="E249" s="258"/>
      <c r="F249" s="258"/>
      <c r="G249" s="258"/>
      <c r="H249" s="258"/>
      <c r="I249" s="258"/>
      <c r="J249" s="258"/>
      <c r="K249" s="258"/>
      <c r="L249" s="258"/>
      <c r="M249" s="258"/>
      <c r="N249" s="258"/>
      <c r="O249" s="258"/>
      <c r="P249" s="1"/>
      <c r="T249" s="14"/>
      <c r="U249" s="377" t="s">
        <v>87</v>
      </c>
      <c r="V249" s="377"/>
      <c r="W249" s="377"/>
      <c r="X249" s="377"/>
      <c r="Y249" s="377"/>
      <c r="Z249" s="1"/>
      <c r="AA249" s="14"/>
      <c r="AB249" s="255">
        <f>IF('Mon Entreprise'!K8&gt;=Annexes!S20,IF(AB240&gt;=AB242,AB240,AB242),IF(AB240&gt;=AB241,AB240,AB241))</f>
        <v>0</v>
      </c>
      <c r="AC249" s="1"/>
      <c r="AD249" s="1"/>
      <c r="AE249" s="13"/>
    </row>
    <row r="250" spans="2:31" ht="16.5" hidden="1" thickBot="1">
      <c r="B250" s="103"/>
      <c r="C250" s="258"/>
      <c r="D250" s="60"/>
      <c r="E250" s="258"/>
      <c r="F250" s="258"/>
      <c r="G250" s="258"/>
      <c r="H250" s="258"/>
      <c r="I250" s="258"/>
      <c r="J250" s="258"/>
      <c r="K250" s="258"/>
      <c r="L250" s="258"/>
      <c r="M250" s="258"/>
      <c r="N250" s="258"/>
      <c r="O250" s="258"/>
      <c r="P250" s="1"/>
      <c r="T250" s="14"/>
      <c r="U250" s="377" t="s">
        <v>88</v>
      </c>
      <c r="V250" s="377"/>
      <c r="W250" s="377"/>
      <c r="X250" s="377"/>
      <c r="Y250" s="377"/>
      <c r="Z250" s="1"/>
      <c r="AA250" s="14"/>
      <c r="AB250" s="19">
        <f>IF('Mon Entreprise'!K8&gt;=Annexes!S20,IF(AB240&gt;=AB242,AE240,AE242),IF(AB240&gt;=AB241,AE240,AE241))</f>
        <v>0</v>
      </c>
      <c r="AC250" s="1"/>
      <c r="AD250" s="1"/>
      <c r="AE250" s="13"/>
    </row>
    <row r="251" spans="2:31" ht="15.75" hidden="1" customHeight="1">
      <c r="B251" s="169"/>
      <c r="C251" s="258"/>
      <c r="D251" s="400" t="str">
        <f>IFERROR(IF(AB248="Non","Vous avez débuté votre activité après le 31 Octobre 2020, vous ne pouvez donc pas bénéficier de cette aide",IF(AB250&gt;=0.5,IF(AB249&gt;Annexes!S5,"Dans votre cas, l'aide est Plafonnée, à "&amp;Annexes!S5&amp;" € pour le mois de Février","Vous pouvez bénéficier, au titre de cette aide, d'un montant de "&amp;ROUND(AB249,0)&amp;" € pour le mois de Février"),"L'entreprise n'a pas une perte d'au moins 50 % en Février 2021")),"Vous n'avez pas indiqué de chiffre d'affaires de référence")</f>
        <v>L'entreprise n'a pas une perte d'au moins 50 % en Février 2021</v>
      </c>
      <c r="E251" s="401"/>
      <c r="F251" s="401"/>
      <c r="G251" s="401"/>
      <c r="H251" s="401"/>
      <c r="I251" s="401"/>
      <c r="J251" s="401"/>
      <c r="K251" s="401"/>
      <c r="L251" s="401"/>
      <c r="M251" s="401"/>
      <c r="N251" s="401"/>
      <c r="O251" s="402"/>
      <c r="P251" s="1"/>
      <c r="T251" s="14"/>
      <c r="U251" s="1"/>
      <c r="V251" s="1"/>
      <c r="W251" s="1"/>
      <c r="X251" s="1"/>
      <c r="Y251" s="1"/>
      <c r="Z251" s="1"/>
      <c r="AA251" s="1"/>
      <c r="AB251" s="1"/>
      <c r="AC251" s="1"/>
      <c r="AD251" s="1"/>
      <c r="AE251" s="13"/>
    </row>
    <row r="252" spans="2:31" ht="15.75" hidden="1" customHeight="1">
      <c r="B252" s="169"/>
      <c r="C252" s="258"/>
      <c r="D252" s="403"/>
      <c r="E252" s="404"/>
      <c r="F252" s="404"/>
      <c r="G252" s="404"/>
      <c r="H252" s="404"/>
      <c r="I252" s="404"/>
      <c r="J252" s="404"/>
      <c r="K252" s="404"/>
      <c r="L252" s="404"/>
      <c r="M252" s="404"/>
      <c r="N252" s="404"/>
      <c r="O252" s="405"/>
      <c r="P252" s="1"/>
      <c r="T252" s="14"/>
      <c r="U252" s="1"/>
      <c r="V252" s="1"/>
      <c r="W252" s="1"/>
      <c r="X252" s="1"/>
      <c r="Y252" s="1"/>
      <c r="Z252" s="1"/>
      <c r="AA252" s="1"/>
      <c r="AB252" s="1"/>
      <c r="AC252" s="1"/>
      <c r="AD252" s="1"/>
      <c r="AE252" s="13"/>
    </row>
    <row r="253" spans="2:31" ht="15.75" hidden="1" customHeight="1">
      <c r="B253" s="103"/>
      <c r="C253" s="258"/>
      <c r="D253" s="403"/>
      <c r="E253" s="404"/>
      <c r="F253" s="404"/>
      <c r="G253" s="404"/>
      <c r="H253" s="404"/>
      <c r="I253" s="404"/>
      <c r="J253" s="404"/>
      <c r="K253" s="404"/>
      <c r="L253" s="404"/>
      <c r="M253" s="404"/>
      <c r="N253" s="404"/>
      <c r="O253" s="405"/>
      <c r="P253" s="1"/>
      <c r="T253" s="14"/>
      <c r="U253" s="1"/>
      <c r="V253" s="1"/>
      <c r="W253" s="1"/>
      <c r="X253" s="1"/>
      <c r="Y253" s="1"/>
      <c r="Z253" s="1"/>
      <c r="AA253" s="1"/>
      <c r="AB253" s="1"/>
      <c r="AC253" s="1"/>
      <c r="AD253" s="1"/>
      <c r="AE253" s="13"/>
    </row>
    <row r="254" spans="2:31" ht="16.5" hidden="1" customHeight="1" thickBot="1">
      <c r="B254" s="103"/>
      <c r="C254" s="258"/>
      <c r="D254" s="406"/>
      <c r="E254" s="407"/>
      <c r="F254" s="407"/>
      <c r="G254" s="407"/>
      <c r="H254" s="407"/>
      <c r="I254" s="407"/>
      <c r="J254" s="407"/>
      <c r="K254" s="407"/>
      <c r="L254" s="407"/>
      <c r="M254" s="407"/>
      <c r="N254" s="407"/>
      <c r="O254" s="408"/>
      <c r="P254" s="1"/>
      <c r="T254" s="14"/>
      <c r="U254" s="1"/>
      <c r="V254" s="1"/>
      <c r="W254" s="1"/>
      <c r="X254" s="1"/>
      <c r="Y254" s="1"/>
      <c r="Z254" s="1"/>
      <c r="AA254" s="1"/>
      <c r="AB254" s="1"/>
      <c r="AC254" s="1"/>
      <c r="AD254" s="1"/>
      <c r="AE254" s="13"/>
    </row>
    <row r="255" spans="2:31" ht="16.5" hidden="1" customHeight="1">
      <c r="B255" s="103"/>
      <c r="C255" s="170"/>
      <c r="D255" s="171"/>
      <c r="E255" s="171"/>
      <c r="F255" s="171"/>
      <c r="G255" s="171"/>
      <c r="H255" s="171"/>
      <c r="I255" s="171"/>
      <c r="J255" s="171"/>
      <c r="K255" s="171"/>
      <c r="L255" s="171"/>
      <c r="M255" s="171"/>
      <c r="N255" s="171"/>
      <c r="O255" s="171"/>
      <c r="P255" s="1"/>
      <c r="T255" s="14"/>
      <c r="U255" s="1"/>
      <c r="V255" s="1"/>
      <c r="W255" s="1"/>
      <c r="X255" s="1"/>
      <c r="Y255" s="1"/>
      <c r="Z255" s="1"/>
      <c r="AA255" s="1"/>
      <c r="AB255" s="1"/>
      <c r="AC255" s="1"/>
      <c r="AD255" s="1"/>
      <c r="AE255" s="13"/>
    </row>
    <row r="256" spans="2:31" ht="16.5" hidden="1" customHeight="1">
      <c r="B256" s="103"/>
      <c r="C256" s="258"/>
      <c r="D256" s="256"/>
      <c r="E256" s="256"/>
      <c r="F256" s="256"/>
      <c r="G256" s="256"/>
      <c r="H256" s="256"/>
      <c r="I256" s="256"/>
      <c r="J256" s="256"/>
      <c r="K256" s="256"/>
      <c r="L256" s="256"/>
      <c r="M256" s="256"/>
      <c r="N256" s="256"/>
      <c r="O256" s="256"/>
      <c r="P256" s="1"/>
      <c r="T256" s="411" t="s">
        <v>4</v>
      </c>
      <c r="U256" s="412"/>
      <c r="V256" s="412"/>
      <c r="W256" s="412"/>
      <c r="X256" s="412"/>
      <c r="Y256" s="412"/>
      <c r="Z256" s="139"/>
      <c r="AA256" s="145"/>
      <c r="AB256" s="196">
        <f>IFERROR(IF('Mon Entreprise'!K8&lt;Annexes!U14,IF('Mon Entreprise'!K8&lt;Annexes!S17,IF(IFERROR(1-'Mon Entreprise'!M83/'Mon Entreprise'!I83,0)&gt;=IFERROR(1-'Mon Entreprise'!M83/('Mon Entreprise'!I63*2),0),1-'Mon Entreprise'!M83/'Mon Entreprise'!I83,1-'Mon Entreprise'!M83/('Mon Entreprise'!I63*2)),1-'Mon Entreprise'!M83/'Mon Entreprise'!I126),0),0)</f>
        <v>0</v>
      </c>
      <c r="AC256" s="1"/>
      <c r="AD256" s="1"/>
      <c r="AE256" s="13"/>
    </row>
    <row r="257" spans="1:31" ht="16.5" hidden="1" customHeight="1">
      <c r="B257" s="103"/>
      <c r="C257" s="413" t="s">
        <v>364</v>
      </c>
      <c r="D257" s="413"/>
      <c r="E257" s="413"/>
      <c r="F257" s="413"/>
      <c r="G257" s="413"/>
      <c r="H257" s="413"/>
      <c r="I257" s="413"/>
      <c r="J257" s="413"/>
      <c r="K257" s="413"/>
      <c r="L257" s="413"/>
      <c r="M257" s="413"/>
      <c r="N257" s="413"/>
      <c r="O257" s="413"/>
      <c r="P257" s="1"/>
      <c r="T257" s="110"/>
      <c r="U257" s="399" t="s">
        <v>107</v>
      </c>
      <c r="V257" s="399"/>
      <c r="W257" s="399"/>
      <c r="X257" s="399"/>
      <c r="Y257" s="399"/>
      <c r="Z257" s="139"/>
      <c r="AA257" s="145"/>
      <c r="AB257" s="196">
        <f>IFERROR(IF('Mon Entreprise'!K8&gt;Annexes!U26,0,IF('Mon Entreprise'!K8&gt;=Annexes!U25,1-'Mon Entreprise'!M79/'Mon Entreprise'!M81,IF('Mon Entreprise'!K8&gt;Annexes!U14,1-'Mon Entreprise'!M79/'Mon Entreprise'!I130,'Explication des Calculs'!AB104))),0)</f>
        <v>0</v>
      </c>
      <c r="AC257" s="1"/>
      <c r="AD257" s="1"/>
      <c r="AE257" s="13"/>
    </row>
    <row r="258" spans="1:31" ht="16.5" hidden="1" customHeight="1">
      <c r="B258" s="103"/>
      <c r="C258" s="413"/>
      <c r="D258" s="413"/>
      <c r="E258" s="413"/>
      <c r="F258" s="413"/>
      <c r="G258" s="413"/>
      <c r="H258" s="413"/>
      <c r="I258" s="413"/>
      <c r="J258" s="413"/>
      <c r="K258" s="413"/>
      <c r="L258" s="413"/>
      <c r="M258" s="413"/>
      <c r="N258" s="413"/>
      <c r="O258" s="413"/>
      <c r="P258" s="1"/>
      <c r="T258" s="110"/>
      <c r="U258" s="399" t="s">
        <v>116</v>
      </c>
      <c r="V258" s="399"/>
      <c r="W258" s="399"/>
      <c r="X258" s="399"/>
      <c r="Y258" s="399"/>
      <c r="Z258" s="139"/>
      <c r="AA258" s="145"/>
      <c r="AB258" s="196">
        <f>IFERROR(IF(Annexes!S27&gt;'Mon Entreprise'!K8,1-'Mon Entreprise'!M63/'Mon Entreprise'!I63,0),0)</f>
        <v>0</v>
      </c>
      <c r="AC258" s="1"/>
      <c r="AD258" s="1"/>
      <c r="AE258" s="13"/>
    </row>
    <row r="259" spans="1:31" ht="16.5" hidden="1" customHeight="1">
      <c r="B259" s="103"/>
      <c r="C259" s="413"/>
      <c r="D259" s="413"/>
      <c r="E259" s="413"/>
      <c r="F259" s="413"/>
      <c r="G259" s="413"/>
      <c r="H259" s="413"/>
      <c r="I259" s="413"/>
      <c r="J259" s="413"/>
      <c r="K259" s="413"/>
      <c r="L259" s="413"/>
      <c r="M259" s="413"/>
      <c r="N259" s="413"/>
      <c r="O259" s="413"/>
      <c r="P259" s="1"/>
      <c r="T259" s="14"/>
      <c r="U259" s="397" t="s">
        <v>8</v>
      </c>
      <c r="V259" s="397"/>
      <c r="W259" s="397"/>
      <c r="X259" s="397"/>
      <c r="Y259" s="397"/>
      <c r="Z259" s="1"/>
      <c r="AA259" s="14"/>
      <c r="AB259" s="255" t="str">
        <f>IF((AND(Annexes!F5&gt;1,Annexes!F5&lt;=Annexes!H6)),"OUI","NON")</f>
        <v>NON</v>
      </c>
      <c r="AC259" s="1"/>
      <c r="AD259" s="1"/>
      <c r="AE259" s="13"/>
    </row>
    <row r="260" spans="1:31" ht="16.5" hidden="1" customHeight="1">
      <c r="B260" s="103"/>
      <c r="C260" s="258"/>
      <c r="D260" s="256"/>
      <c r="E260" s="301" t="str">
        <f>IF('Mon Entreprise'!K8&gt;Annexes!U24,"",IF(OR(AB259="OUI",AND(OR(AB261="OUI",AB260="OUI"),OR(AB256&gt;=Annexes!T5,AB257&gt;=Annexes!T5,'Mes Aides'!AB149&gt;=0.1)),AB262=TRUE),"",IF(AND(OR(AB261="OUI",AB260="OUI"),OR(AB256&lt;Annexes!T5,AB257&lt;Annexes!T5,'Mes Aides'!AB207&lt;0.1)),"L'entreprise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60" s="301"/>
      <c r="G260" s="301"/>
      <c r="H260" s="301"/>
      <c r="I260" s="301"/>
      <c r="J260" s="301"/>
      <c r="K260" s="301"/>
      <c r="L260" s="301"/>
      <c r="M260" s="301"/>
      <c r="N260" s="301"/>
      <c r="O260" s="301"/>
      <c r="P260" s="1"/>
      <c r="T260" s="14"/>
      <c r="U260" s="259"/>
      <c r="V260" s="259"/>
      <c r="W260" s="259"/>
      <c r="X260" s="259"/>
      <c r="Y260" s="259" t="s">
        <v>9</v>
      </c>
      <c r="Z260" s="1"/>
      <c r="AA260" s="14"/>
      <c r="AB260" s="255" t="str">
        <f>IF(AND(Annexes!F7&gt;1,Annexes!F7&lt;=Annexes!H8),"OUI","NON")</f>
        <v>NON</v>
      </c>
      <c r="AC260" s="1"/>
      <c r="AD260" s="1"/>
      <c r="AE260" s="13"/>
    </row>
    <row r="261" spans="1:31" ht="16.5" hidden="1" customHeight="1">
      <c r="B261" s="103"/>
      <c r="C261" s="281"/>
      <c r="D261" s="277"/>
      <c r="E261" s="301"/>
      <c r="F261" s="301"/>
      <c r="G261" s="301"/>
      <c r="H261" s="301"/>
      <c r="I261" s="301"/>
      <c r="J261" s="301"/>
      <c r="K261" s="301"/>
      <c r="L261" s="301"/>
      <c r="M261" s="301"/>
      <c r="N261" s="301"/>
      <c r="O261" s="301"/>
      <c r="P261" s="1"/>
      <c r="T261" s="378" t="s">
        <v>324</v>
      </c>
      <c r="U261" s="379"/>
      <c r="V261" s="379"/>
      <c r="W261" s="379"/>
      <c r="X261" s="379"/>
      <c r="Y261" s="379"/>
      <c r="Z261" s="1"/>
      <c r="AA261" s="14"/>
      <c r="AB261" s="255" t="str">
        <f>IF(OR(Annexes!M13=TRUE,Annexes!M19=TRUE),"OUI","NON")</f>
        <v>NON</v>
      </c>
      <c r="AC261" s="1"/>
      <c r="AD261" s="1"/>
      <c r="AE261" s="13"/>
    </row>
    <row r="262" spans="1:31" ht="16.5" hidden="1" customHeight="1">
      <c r="B262" s="169"/>
      <c r="C262" s="258"/>
      <c r="D262" s="256"/>
      <c r="E262" s="301"/>
      <c r="F262" s="301"/>
      <c r="G262" s="301"/>
      <c r="H262" s="301"/>
      <c r="I262" s="301"/>
      <c r="J262" s="301"/>
      <c r="K262" s="301"/>
      <c r="L262" s="301"/>
      <c r="M262" s="301"/>
      <c r="N262" s="301"/>
      <c r="O262" s="301"/>
      <c r="P262" s="1"/>
      <c r="T262" s="14"/>
      <c r="U262" s="379" t="s">
        <v>320</v>
      </c>
      <c r="V262" s="379"/>
      <c r="W262" s="379"/>
      <c r="X262" s="379"/>
      <c r="Y262" s="379"/>
      <c r="Z262" s="1"/>
      <c r="AA262" s="14"/>
      <c r="AB262" s="255" t="b">
        <f>IF(AND(Annexes!M17=TRUE,AB250&gt;=0.2),TRUE,FALSE)</f>
        <v>0</v>
      </c>
      <c r="AC262" s="1"/>
      <c r="AD262" s="1"/>
      <c r="AE262" s="13"/>
    </row>
    <row r="263" spans="1:31" ht="16.5" hidden="1" customHeight="1">
      <c r="A263" s="99"/>
      <c r="B263" s="103"/>
      <c r="C263" s="258"/>
      <c r="D263" s="384" t="str">
        <f>IFERROR(IF('Mon Entreprise'!K8&gt;=Annexes!S20,IF(AB240&gt;=AB242,"- Le CA de référence est celui de Février 2019, soit une perte de "&amp;ROUND(AB240,0)&amp;" €"&amp;" ==&gt; "&amp;ROUND(AE240*100,0)&amp;" %","- Le CA de référence est celui de la création, soit une perte de "&amp;ROUND(AB242,0)&amp;" €"&amp;" ==&gt; "&amp;ROUND(AE242*100,0)&amp;" %"),IF(AB240&gt;=AB241,"- Le CA de référence est celui de Février 2019, soit une perte de "&amp;ROUND(AB240,0)&amp;" €"&amp;" ==&gt; "&amp;ROUND(AE240*100,0)&amp;" %","- Le CA de référence est celui de l'exercice 2019, soit une perte de "&amp;ROUND(AB241,0)&amp;" €"&amp;" ==&gt; "&amp;ROUND(AE241*100,0)&amp;" %")),"")</f>
        <v>- Le CA de référence est celui de Février 2019, soit une perte de 0 € ==&gt; 0 %</v>
      </c>
      <c r="E263" s="384"/>
      <c r="F263" s="384"/>
      <c r="G263" s="384"/>
      <c r="H263" s="384"/>
      <c r="I263" s="384"/>
      <c r="J263" s="384"/>
      <c r="K263" s="384"/>
      <c r="L263" s="384"/>
      <c r="M263" s="384"/>
      <c r="N263" s="384"/>
      <c r="O263" s="384"/>
      <c r="P263" s="1"/>
      <c r="T263" s="14"/>
      <c r="U263" s="410" t="s">
        <v>74</v>
      </c>
      <c r="V263" s="410"/>
      <c r="W263" s="410"/>
      <c r="X263" s="410"/>
      <c r="Y263" s="410"/>
      <c r="Z263" s="139"/>
      <c r="AA263" s="145"/>
      <c r="AB263" s="257" t="str">
        <f>IF('Mon Entreprise'!K8&lt;=Annexes!U26,"Oui","Non")</f>
        <v>Oui</v>
      </c>
      <c r="AC263" s="139"/>
      <c r="AD263" s="1"/>
      <c r="AE263" s="13"/>
    </row>
    <row r="264" spans="1:31" ht="16.5" hidden="1" customHeight="1">
      <c r="B264" s="103"/>
      <c r="C264" s="258"/>
      <c r="D264" s="217" t="str">
        <f>IF(OR(AB259="OUI",AB262=TRUE),"- Sans ticket modérateur",IF(AND(OR(AB261="OUI",AB260="OUI"),OR(AB256&gt;=0.8,AB257&gt;=0.8,AB258&gt;=0.1)),"- La Perte de référence est plafonnée à 80 %, soit "&amp;ROUND(AB268,0)&amp;" €","- Sans ticket modérateur"))</f>
        <v>- Sans ticket modérateur</v>
      </c>
      <c r="E264" s="254"/>
      <c r="F264" s="254"/>
      <c r="G264" s="254"/>
      <c r="H264" s="254"/>
      <c r="I264" s="254"/>
      <c r="J264" s="254"/>
      <c r="K264" s="254"/>
      <c r="L264" s="254"/>
      <c r="M264" s="254"/>
      <c r="N264" s="254"/>
      <c r="O264" s="254"/>
      <c r="P264" s="1"/>
      <c r="T264" s="14"/>
      <c r="U264" s="410" t="s">
        <v>87</v>
      </c>
      <c r="V264" s="410"/>
      <c r="W264" s="410"/>
      <c r="X264" s="410"/>
      <c r="Y264" s="410"/>
      <c r="Z264" s="139"/>
      <c r="AA264" s="145"/>
      <c r="AB264" s="257">
        <f>IF('Mon Entreprise'!K8&gt;=Annexes!S20,IF(AB240&gt;=AB242,AB240,AB242),IF(AB240&gt;=AB241,AB240,AB241))</f>
        <v>0</v>
      </c>
      <c r="AC264" s="139"/>
      <c r="AD264" s="1"/>
      <c r="AE264" s="13"/>
    </row>
    <row r="265" spans="1:31" ht="16.5" hidden="1" customHeight="1" thickBot="1">
      <c r="B265" s="103"/>
      <c r="C265" s="258"/>
      <c r="D265" s="254"/>
      <c r="E265" s="254"/>
      <c r="F265" s="254"/>
      <c r="G265" s="254"/>
      <c r="H265" s="254"/>
      <c r="I265" s="254"/>
      <c r="J265" s="254"/>
      <c r="K265" s="254"/>
      <c r="L265" s="254"/>
      <c r="M265" s="254"/>
      <c r="N265" s="254"/>
      <c r="O265" s="254"/>
      <c r="P265" s="1"/>
      <c r="T265" s="14"/>
      <c r="U265" s="410" t="s">
        <v>88</v>
      </c>
      <c r="V265" s="410"/>
      <c r="W265" s="410"/>
      <c r="X265" s="410"/>
      <c r="Y265" s="410"/>
      <c r="Z265" s="139"/>
      <c r="AA265" s="145"/>
      <c r="AB265" s="257">
        <f>IF('Mon Entreprise'!K8&gt;=Annexes!S20,IF(AB240&gt;=AB242,AE240,AE242),IF(AB240&gt;=AB241,AE240,AE241))</f>
        <v>0</v>
      </c>
      <c r="AC265" s="139"/>
      <c r="AD265" s="1"/>
      <c r="AE265" s="13"/>
    </row>
    <row r="266" spans="1:31" ht="16.5" hidden="1" customHeight="1">
      <c r="B266" s="103"/>
      <c r="C266" s="258"/>
      <c r="D266" s="400" t="str">
        <f>IFERROR(IF('Mon Entreprise'!K8&gt;Annexes!U26,"Vous avez débuté votre activité après le 31 Octobre 2020, vous ne pouvez donc pas bénéficier de cette aide",IF(AB262=TRUE,IF(AB268&gt;Annexes!S6,"Dans votre cas, l'aide est Plafonnée, à "&amp;Annexes!S6&amp;" € pour le mois de Février","Vous pouvez bénéficier, au titre de cette aide, d'un montant de "&amp;ROUND(AB268,0)&amp;" € pour le mois de Février"),IF(AB265&gt;=0.5,IF(OR(AB259="OUI",AND(OR(AB261="OUI",AB260="OUI"),OR(AB256&gt;=Annexes!T5,AB257&gt;=Annexes!T5,AB258&gt;=0.1))),IF(AB268&gt;Annexes!S6,"Dans votre cas, l'aide est Plafonnée, à "&amp;Annexes!S6&amp;" € pour le mois de Février","Vous pouvez bénéficier, au titre de cette aide, d'un montant de "&amp;ROUND(AB268,0)&amp;" € pour le mois de Février"),IF(AND(OR(AB261="OUI",AB260="OUI"),OR(AB256&lt;Annexes!T5,AB257&lt;Annexes!T5)),"L'entreprise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6" s="401"/>
      <c r="F266" s="401"/>
      <c r="G266" s="401"/>
      <c r="H266" s="401"/>
      <c r="I266" s="401"/>
      <c r="J266" s="401"/>
      <c r="K266" s="401"/>
      <c r="L266" s="401"/>
      <c r="M266" s="401"/>
      <c r="N266" s="401"/>
      <c r="O266" s="402"/>
      <c r="P266" s="1"/>
      <c r="T266" s="14"/>
      <c r="U266" s="396" t="s">
        <v>76</v>
      </c>
      <c r="V266" s="396"/>
      <c r="W266" s="396"/>
      <c r="X266" s="396"/>
      <c r="Y266" s="396"/>
      <c r="Z266" s="139"/>
      <c r="AA266" s="145"/>
      <c r="AB266" s="257">
        <f>IF(OR(AB259="OUI",AB262=TRUE),1,IF(AND(OR(AB261="OUI",AB260="OUI"),OR(AB256&gt;=0.8,AB257&gt;=0.8,AB258&gt;=0.1)),0.8,1))</f>
        <v>1</v>
      </c>
      <c r="AC266" s="139"/>
      <c r="AD266" s="1"/>
      <c r="AE266" s="13"/>
    </row>
    <row r="267" spans="1:31" ht="16.5" hidden="1" customHeight="1">
      <c r="B267" s="174"/>
      <c r="C267" s="258"/>
      <c r="D267" s="403"/>
      <c r="E267" s="404"/>
      <c r="F267" s="404"/>
      <c r="G267" s="404"/>
      <c r="H267" s="404"/>
      <c r="I267" s="404"/>
      <c r="J267" s="404"/>
      <c r="K267" s="404"/>
      <c r="L267" s="404"/>
      <c r="M267" s="404"/>
      <c r="N267" s="404"/>
      <c r="O267" s="405"/>
      <c r="P267" s="1"/>
      <c r="T267" s="14"/>
      <c r="U267" s="396" t="s">
        <v>83</v>
      </c>
      <c r="V267" s="396"/>
      <c r="W267" s="396"/>
      <c r="X267" s="396"/>
      <c r="Y267" s="396"/>
      <c r="Z267" s="139"/>
      <c r="AA267" s="145"/>
      <c r="AB267" s="257">
        <f>IF('Mon Entreprise'!K8&gt;=Annexes!S20,IF(AB240&gt;=AB242,Y240,Y242),IF(AB240&gt;=AB241,Y240,Y241))</f>
        <v>0</v>
      </c>
      <c r="AC267" s="139"/>
      <c r="AD267" s="1"/>
      <c r="AE267" s="13"/>
    </row>
    <row r="268" spans="1:31" ht="16.5" hidden="1" customHeight="1">
      <c r="B268" s="103"/>
      <c r="C268" s="258"/>
      <c r="D268" s="403"/>
      <c r="E268" s="404"/>
      <c r="F268" s="404"/>
      <c r="G268" s="404"/>
      <c r="H268" s="404"/>
      <c r="I268" s="404"/>
      <c r="J268" s="404"/>
      <c r="K268" s="404"/>
      <c r="L268" s="404"/>
      <c r="M268" s="404"/>
      <c r="N268" s="404"/>
      <c r="O268" s="405"/>
      <c r="P268" s="1"/>
      <c r="T268" s="14"/>
      <c r="U268" s="379" t="s">
        <v>109</v>
      </c>
      <c r="V268" s="379"/>
      <c r="W268" s="379"/>
      <c r="X268" s="379"/>
      <c r="Y268" s="379"/>
      <c r="Z268" s="1"/>
      <c r="AA268" s="14"/>
      <c r="AB268" s="255">
        <f>IF(AB266=1,AB264,IF(AB264*AB266&gt;1500,IF(AB264&gt;1500,AB264*AB266,"Impossible"),IF(AB264&lt;1500,AB264,1500)))</f>
        <v>0</v>
      </c>
      <c r="AC268" s="1"/>
      <c r="AD268" s="1"/>
      <c r="AE268" s="13"/>
    </row>
    <row r="269" spans="1:31" ht="16.5" hidden="1" customHeight="1" thickBot="1">
      <c r="B269" s="103"/>
      <c r="C269" s="258"/>
      <c r="D269" s="406"/>
      <c r="E269" s="407"/>
      <c r="F269" s="407"/>
      <c r="G269" s="407"/>
      <c r="H269" s="407"/>
      <c r="I269" s="407"/>
      <c r="J269" s="407"/>
      <c r="K269" s="407"/>
      <c r="L269" s="407"/>
      <c r="M269" s="407"/>
      <c r="N269" s="407"/>
      <c r="O269" s="408"/>
      <c r="P269" s="1"/>
      <c r="T269" s="14"/>
      <c r="U269" s="255"/>
      <c r="V269" s="255"/>
      <c r="W269" s="255"/>
      <c r="X269" s="255"/>
      <c r="Y269" s="255"/>
      <c r="Z269" s="1"/>
      <c r="AA269" s="1"/>
      <c r="AB269" s="1"/>
      <c r="AC269" s="1"/>
      <c r="AD269" s="1"/>
      <c r="AE269" s="13"/>
    </row>
    <row r="270" spans="1:31" ht="16.5" hidden="1" customHeight="1">
      <c r="B270" s="103"/>
      <c r="C270" s="170"/>
      <c r="D270" s="175"/>
      <c r="E270" s="175"/>
      <c r="F270" s="175"/>
      <c r="G270" s="175"/>
      <c r="H270" s="175"/>
      <c r="I270" s="175"/>
      <c r="J270" s="175"/>
      <c r="K270" s="175"/>
      <c r="L270" s="175"/>
      <c r="M270" s="175"/>
      <c r="N270" s="175"/>
      <c r="O270" s="175"/>
      <c r="P270" s="1"/>
      <c r="T270" s="14"/>
      <c r="U270" s="379"/>
      <c r="V270" s="379"/>
      <c r="W270" s="379"/>
      <c r="X270" s="379"/>
      <c r="Y270" s="379"/>
      <c r="Z270" s="1"/>
      <c r="AA270" s="1"/>
      <c r="AB270" s="1"/>
      <c r="AC270" s="1"/>
      <c r="AD270" s="1"/>
      <c r="AE270" s="13"/>
    </row>
    <row r="271" spans="1:31" ht="16.5" hidden="1" customHeight="1">
      <c r="B271" s="103"/>
      <c r="C271" s="258"/>
      <c r="D271" s="254"/>
      <c r="E271" s="254"/>
      <c r="F271" s="254"/>
      <c r="G271" s="254"/>
      <c r="H271" s="254"/>
      <c r="I271" s="254"/>
      <c r="J271" s="254"/>
      <c r="K271" s="254"/>
      <c r="L271" s="254"/>
      <c r="M271" s="254"/>
      <c r="N271" s="254"/>
      <c r="O271" s="254"/>
      <c r="P271" s="1"/>
      <c r="T271" s="14"/>
      <c r="U271" s="255"/>
      <c r="V271" s="255"/>
      <c r="W271" s="255"/>
      <c r="X271" s="255"/>
      <c r="Y271" s="255"/>
      <c r="Z271" s="1"/>
      <c r="AA271" s="1"/>
      <c r="AB271" s="1"/>
      <c r="AC271" s="1"/>
      <c r="AD271" s="1"/>
      <c r="AE271" s="13"/>
    </row>
    <row r="272" spans="1:31" ht="16.5" hidden="1" customHeight="1">
      <c r="B272" s="103"/>
      <c r="C272" s="398" t="s">
        <v>321</v>
      </c>
      <c r="D272" s="398"/>
      <c r="E272" s="398"/>
      <c r="F272" s="398"/>
      <c r="G272" s="398"/>
      <c r="H272" s="398"/>
      <c r="I272" s="398"/>
      <c r="J272" s="398"/>
      <c r="K272" s="398"/>
      <c r="L272" s="398"/>
      <c r="M272" s="398"/>
      <c r="N272" s="398"/>
      <c r="O272" s="398"/>
      <c r="P272" s="1"/>
      <c r="T272" s="14"/>
      <c r="U272" s="1"/>
      <c r="V272" s="1"/>
      <c r="W272" s="1"/>
      <c r="X272" s="1"/>
      <c r="Y272" s="1"/>
      <c r="Z272" s="1"/>
      <c r="AA272" s="1"/>
      <c r="AB272" s="1"/>
      <c r="AC272" s="1"/>
      <c r="AD272" s="1"/>
      <c r="AE272" s="13"/>
    </row>
    <row r="273" spans="2:31" ht="16.5" hidden="1" customHeight="1">
      <c r="B273" s="103"/>
      <c r="C273" s="398"/>
      <c r="D273" s="398"/>
      <c r="E273" s="398"/>
      <c r="F273" s="398"/>
      <c r="G273" s="398"/>
      <c r="H273" s="398"/>
      <c r="I273" s="398"/>
      <c r="J273" s="398"/>
      <c r="K273" s="398"/>
      <c r="L273" s="398"/>
      <c r="M273" s="398"/>
      <c r="N273" s="398"/>
      <c r="O273" s="398"/>
      <c r="P273" s="1"/>
      <c r="T273" s="14"/>
      <c r="U273" s="1"/>
      <c r="V273" s="1"/>
      <c r="W273" s="1"/>
      <c r="X273" s="1"/>
      <c r="Y273" s="1"/>
      <c r="Z273" s="1"/>
      <c r="AA273" s="1"/>
      <c r="AB273" s="1"/>
      <c r="AC273" s="1"/>
      <c r="AD273" s="1"/>
      <c r="AE273" s="13"/>
    </row>
    <row r="274" spans="2:31" ht="16.5" hidden="1" customHeight="1">
      <c r="B274" s="174"/>
      <c r="C274" s="398"/>
      <c r="D274" s="398"/>
      <c r="E274" s="398"/>
      <c r="F274" s="398"/>
      <c r="G274" s="398"/>
      <c r="H274" s="398"/>
      <c r="I274" s="398"/>
      <c r="J274" s="398"/>
      <c r="K274" s="398"/>
      <c r="L274" s="398"/>
      <c r="M274" s="398"/>
      <c r="N274" s="398"/>
      <c r="O274" s="398"/>
      <c r="P274" s="1"/>
      <c r="T274" s="14"/>
      <c r="U274" s="396" t="s">
        <v>85</v>
      </c>
      <c r="V274" s="396"/>
      <c r="W274" s="396"/>
      <c r="X274" s="396"/>
      <c r="Y274" s="396"/>
      <c r="Z274" s="68"/>
      <c r="AA274" s="1"/>
      <c r="AB274" s="1">
        <f>IFERROR(IF(AB248="Non",0,IF(AB250&gt;=0.5,IF(AB249&gt;Annexes!S5,Annexes!S5,ROUND(AB249,0)),0)),0)</f>
        <v>0</v>
      </c>
      <c r="AC274" s="1"/>
      <c r="AD274" s="1"/>
      <c r="AE274" s="13"/>
    </row>
    <row r="275" spans="2:31" ht="30" hidden="1" customHeight="1">
      <c r="B275" s="174"/>
      <c r="C275" s="258"/>
      <c r="D275" s="256"/>
      <c r="E275" s="301" t="str">
        <f>IF('Mon Entreprise'!K8&gt;Annexes!U24,"",IF(OR(AB259="OUI",AND(OR(AB261="OUI",AB260="OUI"),OR(AB256&gt;=Annexes!T5,AB257&gt;=Annexes!T5,'Mes Aides'!AB149&gt;=0.1)),AB262=TRUE),"",IF(AND(OR(AB261="OUI",AB260="OUI"),OR(AB256&lt;Annexes!T5,AB257&lt;Annexes!T5,'Mes Aides'!AB149&lt;0.1)),"L'entreprise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5" s="301"/>
      <c r="G275" s="301"/>
      <c r="H275" s="301"/>
      <c r="I275" s="301"/>
      <c r="J275" s="301"/>
      <c r="K275" s="301"/>
      <c r="L275" s="301"/>
      <c r="M275" s="301"/>
      <c r="N275" s="301"/>
      <c r="O275" s="301"/>
      <c r="P275" s="1"/>
      <c r="T275" s="14"/>
      <c r="U275" s="396" t="s">
        <v>84</v>
      </c>
      <c r="V275" s="396"/>
      <c r="W275" s="396"/>
      <c r="X275" s="396"/>
      <c r="Y275" s="396"/>
      <c r="Z275" s="68"/>
      <c r="AA275" s="1"/>
      <c r="AB275" s="1">
        <f>IFERROR(IF('Mon Entreprise'!K8&gt;Annexes!U24,0,IF(AB262=TRUE,IF(AB268&gt;Annexes!S6,Annexes!S6,ROUND(AB268,0)),IF(AB265&gt;=0.5,IF(OR(AB259="OUI",AND(AB261="OUI",OR(AB256&gt;=Annexes!T5,AB257&gt;=Annexes!T5))),IF(AB268&gt;Annexes!S6,Annexes!S6,ROUND(AB268,0)),IF(AND(AB261="OUI",OR(AB256&lt;Annexes!T5,AB257&lt;Annexes!T5)),0,0)),0))),0)</f>
        <v>0</v>
      </c>
      <c r="AC275" s="1"/>
      <c r="AD275" s="1"/>
      <c r="AE275" s="13"/>
    </row>
    <row r="276" spans="2:31" ht="16.5" hidden="1" customHeight="1">
      <c r="B276" s="174"/>
      <c r="C276" s="258"/>
      <c r="D276" s="256"/>
      <c r="E276" s="301"/>
      <c r="F276" s="301"/>
      <c r="G276" s="301"/>
      <c r="H276" s="301"/>
      <c r="I276" s="301"/>
      <c r="J276" s="301"/>
      <c r="K276" s="301"/>
      <c r="L276" s="301"/>
      <c r="M276" s="301"/>
      <c r="N276" s="301"/>
      <c r="O276" s="301"/>
      <c r="P276" s="1"/>
      <c r="T276" s="14"/>
      <c r="U276" s="396" t="s">
        <v>106</v>
      </c>
      <c r="V276" s="396"/>
      <c r="W276" s="396"/>
      <c r="X276" s="396"/>
      <c r="Y276" s="396"/>
      <c r="Z276" s="68"/>
      <c r="AA276" s="1"/>
      <c r="AB276" s="1">
        <f>IFERROR(IF('Mon Entreprise'!K8&gt;Annexes!U26,0,IF(AB262=TRUE,IF(AB267=0,0,IF(AB264&lt;AB267*0.2,ROUND(AB264,0),IF(AB267*0.2&gt;=200000,Annexes!S8,ROUND(AB267*0.2,0)))),IF(AB259="OUI",IF(AB265&gt;=0.7,IF(AB264&lt;AB267*0.2,ROUND(AB264,0),IF(AB267*0.2&gt;=200000,Annexes!S8,ROUND(AB267*0.2,0))),IF(AB265&gt;=0.5,IF(AB264&lt;AB267*0.15,ROUND(AB264,0),IF(AB267*0.15&gt;=200000,Annexes!S8,ROUND(AB267*0.15,0))),IF(AND(AB261="OUI",OR(AB256&gt;=0.8,AB257&gt;=0.8,AB258&gt;=0.1),AB265&gt;=0.7),IF(AB264&lt;AB267*0.2,ROUND(AB264,0),IF(AB267*0.2&gt;=200000,Annexes!S8,ROUND(AB267*0.2,0))),0))),IF(AND(AB261="OUI",OR(AB256&gt;=0.8,AB257&gt;=0.8,AB258&gt;=0.1),AB265&gt;=0.7),IF(AB264&lt;AB267*0.2,ROUND(AB264,0),IF(AB267*0.2&gt;=200000,Annexes!S8,ROUND(AB267*0.2,0))),0)))),0)</f>
        <v>0</v>
      </c>
      <c r="AC276" s="1"/>
      <c r="AD276" s="1"/>
      <c r="AE276" s="13"/>
    </row>
    <row r="277" spans="2:31" ht="16.5" hidden="1" customHeight="1">
      <c r="B277" s="174"/>
      <c r="C277" s="258"/>
      <c r="D277" s="301" t="str">
        <f>IFERROR(IF('Mon Entreprise'!K8&gt;=Annexes!S20,IF(AB240&gt;=AB242,"- Le CA de référence est celui de Février 2019, soit une perte de "&amp;ROUND(AB240,0)&amp;" €"&amp;" ==&gt; "&amp;ROUND(AE240*100,0)&amp;" %","- Le CA de référence est celui de la création, soit une perte de "&amp;ROUND(AB242,0)&amp;" €"&amp;" ==&gt; "&amp;ROUND(AE242*100,0)&amp;" %"),IF(AB240&gt;=AB241,"- Le CA de référence est celui de Février 2019, soit une perte de "&amp;ROUND(AB240,0)&amp;" €"&amp;" ==&gt; "&amp;ROUND(AE240*100,0)&amp;" %","- Le CA de référence est celui de l'exercice 2019, soit une perte de "&amp;ROUND(AB241,0)&amp;" €"&amp;" ==&gt; "&amp;ROUND(AE241*100,0)&amp;" %")),"")</f>
        <v>- Le CA de référence est celui de Février 2019, soit une perte de 0 € ==&gt; 0 %</v>
      </c>
      <c r="E277" s="301"/>
      <c r="F277" s="301"/>
      <c r="G277" s="301"/>
      <c r="H277" s="301"/>
      <c r="I277" s="301"/>
      <c r="J277" s="301"/>
      <c r="K277" s="301"/>
      <c r="L277" s="301"/>
      <c r="M277" s="301"/>
      <c r="N277" s="301"/>
      <c r="O277" s="301"/>
      <c r="P277" s="254"/>
      <c r="Q277" s="254"/>
      <c r="T277" s="14"/>
      <c r="U277" s="1"/>
      <c r="V277" s="1"/>
      <c r="W277" s="1"/>
      <c r="X277" s="1"/>
      <c r="Y277" s="1"/>
      <c r="Z277" s="1"/>
      <c r="AA277" s="1"/>
      <c r="AB277" s="1"/>
      <c r="AC277" s="1"/>
      <c r="AD277" s="1"/>
      <c r="AE277" s="13"/>
    </row>
    <row r="278" spans="2:31" ht="16.5" hidden="1" customHeight="1">
      <c r="B278" s="103"/>
      <c r="C278" s="258"/>
      <c r="D278" s="384" t="str">
        <f>IF(AB262=TRUE,"- L'entreprise peut bénéficier d'une aide de 20 % du CA de référence, plafonnée à 200 000 €",IF(OR(AB259="OUI",AND(AB260="OUI",OR(AB256&gt;=0.8,AB257&gt;=0.8,AB258&gt;=0.1))),IF(AB265&gt;=0.7,"- L'entreprise peut bénéficier d'une aide de 20 % du CA de référence, plafonnée à 200 000 €",IF(AB265&gt;=0.5,"- L'entreprise peut bénéficier d'une aide de 15 % du CA de référence, plafonnée à 200 000 €","- L'entreprise n'a subi ni de fermeture administrative avec une perte de 20 % de CA au mois de Février, ni de perte d'au moins 50 % de son CA")),IF(AND(AB261="OUI",OR(AB256&gt;=0.8,AB257&gt;=0.8,AB258&gt;=0.1),AB265&gt;=0.5),"-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8" s="384"/>
      <c r="F278" s="384"/>
      <c r="G278" s="384"/>
      <c r="H278" s="384"/>
      <c r="I278" s="384"/>
      <c r="J278" s="384"/>
      <c r="K278" s="384"/>
      <c r="L278" s="384"/>
      <c r="M278" s="384"/>
      <c r="N278" s="384"/>
      <c r="O278" s="384"/>
      <c r="P278" s="254"/>
      <c r="Q278" s="254"/>
      <c r="T278" s="14"/>
      <c r="U278" s="1"/>
      <c r="V278" s="1"/>
      <c r="W278" s="1"/>
      <c r="X278" s="1"/>
      <c r="Y278" s="1"/>
      <c r="Z278" s="1"/>
      <c r="AA278" s="1"/>
      <c r="AB278" s="1"/>
      <c r="AC278" s="1"/>
      <c r="AD278" s="1"/>
      <c r="AE278" s="13"/>
    </row>
    <row r="279" spans="2:31" ht="16.5" hidden="1" customHeight="1">
      <c r="B279" s="169"/>
      <c r="C279" s="258"/>
      <c r="D279" s="384"/>
      <c r="E279" s="384"/>
      <c r="F279" s="384"/>
      <c r="G279" s="384"/>
      <c r="H279" s="384"/>
      <c r="I279" s="384"/>
      <c r="J279" s="384"/>
      <c r="K279" s="384"/>
      <c r="L279" s="384"/>
      <c r="M279" s="384"/>
      <c r="N279" s="384"/>
      <c r="O279" s="384"/>
      <c r="P279" s="254"/>
      <c r="Q279" s="254"/>
      <c r="T279" s="14"/>
      <c r="U279" s="1"/>
      <c r="V279" s="1"/>
      <c r="W279" s="1"/>
      <c r="X279" s="1"/>
      <c r="Y279" s="1"/>
      <c r="Z279" s="1"/>
      <c r="AA279" s="1"/>
      <c r="AB279" s="1"/>
      <c r="AC279" s="1"/>
      <c r="AD279" s="1"/>
      <c r="AE279" s="13"/>
    </row>
    <row r="280" spans="2:31" ht="16.5" hidden="1" customHeight="1" thickBot="1">
      <c r="B280" s="169"/>
      <c r="C280" s="258"/>
      <c r="D280" s="207"/>
      <c r="E280" s="254"/>
      <c r="F280" s="254"/>
      <c r="G280" s="254"/>
      <c r="H280" s="254"/>
      <c r="I280" s="254"/>
      <c r="J280" s="254"/>
      <c r="K280" s="254"/>
      <c r="L280" s="254"/>
      <c r="M280" s="254"/>
      <c r="N280" s="254"/>
      <c r="O280" s="254"/>
      <c r="P280" s="254"/>
      <c r="Q280" s="254"/>
      <c r="T280" s="14"/>
      <c r="U280" s="1"/>
      <c r="V280" s="1"/>
      <c r="W280" s="1"/>
      <c r="X280" s="1"/>
      <c r="Y280" s="1"/>
      <c r="Z280" s="1"/>
      <c r="AA280" s="1"/>
      <c r="AB280" s="1"/>
      <c r="AC280" s="1"/>
      <c r="AD280" s="1"/>
      <c r="AE280" s="13"/>
    </row>
    <row r="281" spans="2:31" ht="16.5" hidden="1" customHeight="1">
      <c r="B281" s="103"/>
      <c r="C281" s="181"/>
      <c r="D281" s="409" t="str">
        <f>IFERROR(IF('Mon Entreprise'!K8&gt;Annexes!U26,"Vous avez débuté votre activité après le 31 Octobre 2020, vous ne pouvez donc pas bénéficier de cette aide",IF(AB262=TRUE,IF(AB267=0,"Vous n'avez pas indiqué de chiffre d'affaires de référence",IF(AB264&lt;AB267*0.2,"Dans votre cas, la perte est inférieure à 20 % du CA, l'aide est donc plafonnée à la perte, soit "&amp;ROUND(AB264,0)&amp;" € pour le mois de Février",IF(AB267*0.2&gt;=200000,"Dans votre cas, l'aide est plafonnée, à "&amp;Annexes!S8&amp;" € pour le mois de Février","Vous pouvez bénéficier, au titre de cette aide, d'un montant de "&amp;ROUND(AB267*0.2,0)&amp;" € pour le mois de Février"))),IF(OR(AB259="OUI",AND(AB260="OUI",OR(AB256&gt;=0.8,AB257&gt;=0.8,AB258&gt;=0.1))),IF(AB265&gt;=0.7,IF(AB264&lt;AB267*0.2,"Dans votre cas, la perte est inférieure à 20 % du CA, l'aide est donc plafonnée à la perte, soit "&amp;ROUND(AB264,0)&amp;" € pour le mois de Février",IF(AB267*0.2&gt;=200000,"Dans votre cas, l'aide est plafonnée, à "&amp;Annexes!S8&amp;" € pour le mois de Février","Vous pouvez bénéficier, au titre de cette aide, d'un montant de "&amp;ROUND(AB267*0.2,0)&amp;" € pour le mois de Février")),IF(AB265&gt;=0.5,IF(AB264&lt;AB267*0.15,"Dans votre cas, la perte est inférieure à 15 % du CA, l'aide est donc plafonnée à la perte, soit "&amp;ROUND(AB264,0)&amp;" € pour le mois de Février",IF(AB267*0.15&gt;=200000,"Dans votre cas, l'aide est plafonnée, à "&amp;Annexes!S8&amp;" € pour le mois de Février","Vous pouvez bénéficier, au titre de cette aide, d'un montant de "&amp;ROUND(AB267*0.15,0)&amp;" € pour le mois de Février")),IF(AND(AB261="OUI",OR(AB256&gt;=0.8,AB257&gt;=0.8,AB258&gt;=0.1),AB265&gt;=0.7),IF(AB264&lt;AB267*0.2,"Dans votre cas, la perte est inférieure à 20 % du CA, l'aide est donc plafonnée à la perte, soit "&amp;ROUND(AB264,0)&amp;" € pour le mois de Février",IF(AB267*0.2&gt;=200000,"Dans votre cas, l'aide est plafonnée, à "&amp;Annexes!S8&amp;" € pour le mois de Février","Vous pouvez bénéficier, au titre de cette aide, d'un montant de "&amp;ROUND(AB267*0.2,0)&amp;"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Février"))),IF(AND(AB261="OUI",OR(AB256&gt;=0.8,AB257&gt;=0.8,AB258&gt;=0.1),AB265&gt;=0.7),IF(AB264&lt;AB267*0.2,"Dans votre cas, la perte est inférieure à 20 % du CA, l'aide est donc plafonnée à la perte, soit "&amp;ROUND(AB264,0)&amp;" € pour le mois de Février",IF(AB267*0.2&gt;=200000,"Dans votre cas, l'aide est plafonnée, à "&amp;Annexes!S8&amp;" € pour le mois de Février","Vous pouvez bénéficier, au titre de cette aide, d'un montant de "&amp;ROUND(AB267*0.2,0)&amp;"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81" s="401"/>
      <c r="F281" s="401"/>
      <c r="G281" s="401"/>
      <c r="H281" s="401"/>
      <c r="I281" s="401"/>
      <c r="J281" s="401"/>
      <c r="K281" s="401"/>
      <c r="L281" s="401"/>
      <c r="M281" s="401"/>
      <c r="N281" s="401"/>
      <c r="O281" s="402"/>
      <c r="P281" s="254"/>
      <c r="Q281" s="254"/>
      <c r="T281" s="14"/>
      <c r="U281" s="1"/>
      <c r="V281" s="1"/>
      <c r="W281" s="1"/>
      <c r="X281" s="1"/>
      <c r="Y281" s="1"/>
      <c r="Z281" s="1"/>
      <c r="AA281" s="1"/>
      <c r="AB281" s="1"/>
      <c r="AC281" s="1"/>
      <c r="AD281" s="1"/>
      <c r="AE281" s="13"/>
    </row>
    <row r="282" spans="2:31" ht="16.5" hidden="1" customHeight="1">
      <c r="B282" s="103"/>
      <c r="C282" s="181"/>
      <c r="D282" s="403"/>
      <c r="E282" s="404"/>
      <c r="F282" s="404"/>
      <c r="G282" s="404"/>
      <c r="H282" s="404"/>
      <c r="I282" s="404"/>
      <c r="J282" s="404"/>
      <c r="K282" s="404"/>
      <c r="L282" s="404"/>
      <c r="M282" s="404"/>
      <c r="N282" s="404"/>
      <c r="O282" s="405"/>
      <c r="P282" s="254"/>
      <c r="Q282" s="254"/>
      <c r="T282" s="14"/>
      <c r="U282" s="1"/>
      <c r="V282" s="1"/>
      <c r="W282" s="1"/>
      <c r="X282" s="1"/>
      <c r="Y282" s="1"/>
      <c r="Z282" s="1"/>
      <c r="AA282" s="1"/>
      <c r="AB282" s="1"/>
      <c r="AC282" s="1"/>
      <c r="AD282" s="1"/>
      <c r="AE282" s="13"/>
    </row>
    <row r="283" spans="2:31" ht="16.5" hidden="1" customHeight="1">
      <c r="B283" s="103"/>
      <c r="C283" s="181"/>
      <c r="D283" s="403"/>
      <c r="E283" s="404"/>
      <c r="F283" s="404"/>
      <c r="G283" s="404"/>
      <c r="H283" s="404"/>
      <c r="I283" s="404"/>
      <c r="J283" s="404"/>
      <c r="K283" s="404"/>
      <c r="L283" s="404"/>
      <c r="M283" s="404"/>
      <c r="N283" s="404"/>
      <c r="O283" s="405"/>
      <c r="P283" s="176"/>
      <c r="Q283" s="176"/>
      <c r="T283" s="14"/>
      <c r="U283" s="1"/>
      <c r="V283" s="1"/>
      <c r="W283" s="1"/>
      <c r="X283" s="1"/>
      <c r="Y283" s="1"/>
      <c r="Z283" s="1"/>
      <c r="AA283" s="1"/>
      <c r="AB283" s="1"/>
      <c r="AC283" s="1"/>
      <c r="AD283" s="1"/>
      <c r="AE283" s="13"/>
    </row>
    <row r="284" spans="2:31" ht="16.5" hidden="1" customHeight="1" thickBot="1">
      <c r="B284" s="103"/>
      <c r="C284" s="181"/>
      <c r="D284" s="406"/>
      <c r="E284" s="407"/>
      <c r="F284" s="407"/>
      <c r="G284" s="407"/>
      <c r="H284" s="407"/>
      <c r="I284" s="407"/>
      <c r="J284" s="407"/>
      <c r="K284" s="407"/>
      <c r="L284" s="407"/>
      <c r="M284" s="407"/>
      <c r="N284" s="407"/>
      <c r="O284" s="408"/>
      <c r="T284" s="14"/>
      <c r="U284" s="1"/>
      <c r="V284" s="1"/>
      <c r="W284" s="1"/>
      <c r="X284" s="1"/>
      <c r="Y284" s="1"/>
      <c r="Z284" s="1"/>
      <c r="AA284" s="1"/>
      <c r="AB284" s="1"/>
      <c r="AC284" s="1"/>
      <c r="AD284" s="1"/>
      <c r="AE284" s="13"/>
    </row>
    <row r="285" spans="2:31" hidden="1">
      <c r="B285" s="5"/>
      <c r="C285" s="5"/>
      <c r="D285" s="261"/>
      <c r="E285" s="261"/>
      <c r="F285" s="261"/>
      <c r="G285" s="261"/>
      <c r="H285" s="261"/>
      <c r="I285" s="261"/>
      <c r="J285" s="261"/>
      <c r="K285" s="261"/>
      <c r="L285" s="261"/>
      <c r="M285" s="261"/>
      <c r="N285" s="261"/>
      <c r="O285" s="261"/>
      <c r="P285" s="178"/>
      <c r="Q285" s="178"/>
      <c r="T285" s="14"/>
      <c r="U285" s="1"/>
      <c r="V285" s="1"/>
      <c r="W285" s="1"/>
      <c r="X285" s="1"/>
      <c r="Y285" s="1"/>
      <c r="Z285" s="1"/>
      <c r="AA285" s="1"/>
      <c r="AB285" s="1"/>
      <c r="AC285" s="1"/>
      <c r="AD285" s="1"/>
      <c r="AE285" s="13"/>
    </row>
    <row r="286" spans="2:31" hidden="1">
      <c r="B286" s="5"/>
      <c r="C286" s="5"/>
      <c r="D286" s="261"/>
      <c r="E286" s="261"/>
      <c r="F286" s="261"/>
      <c r="G286" s="261"/>
      <c r="H286" s="261"/>
      <c r="I286" s="261"/>
      <c r="J286" s="261"/>
      <c r="K286" s="261"/>
      <c r="L286" s="261"/>
      <c r="M286" s="261"/>
      <c r="N286" s="261"/>
      <c r="O286" s="261"/>
      <c r="P286" s="178"/>
      <c r="Q286" s="178"/>
      <c r="T286" s="14"/>
      <c r="U286" s="1"/>
      <c r="V286" s="1"/>
      <c r="W286" s="1"/>
      <c r="X286" s="1"/>
      <c r="Y286" s="1"/>
      <c r="Z286" s="1"/>
      <c r="AA286" s="1"/>
      <c r="AB286" s="1"/>
      <c r="AC286" s="1"/>
      <c r="AD286" s="1"/>
      <c r="AE286" s="13"/>
    </row>
    <row r="287" spans="2:31">
      <c r="D287" s="178"/>
      <c r="E287" s="178"/>
      <c r="F287" s="178"/>
      <c r="G287" s="178"/>
      <c r="H287" s="178"/>
      <c r="I287" s="178"/>
      <c r="J287" s="178"/>
      <c r="K287" s="178"/>
      <c r="L287" s="178"/>
      <c r="M287" s="178"/>
      <c r="N287" s="178"/>
      <c r="O287" s="178"/>
      <c r="P287" s="176"/>
      <c r="Q287" s="176"/>
      <c r="T287" s="14"/>
      <c r="U287" s="1"/>
      <c r="V287" s="1"/>
      <c r="W287" s="1"/>
      <c r="X287" s="1"/>
      <c r="Y287" s="1"/>
      <c r="Z287" s="1"/>
      <c r="AA287" s="1"/>
      <c r="AB287" s="1"/>
      <c r="AC287" s="1"/>
      <c r="AD287" s="1"/>
      <c r="AE287" s="13"/>
    </row>
    <row r="288" spans="2:31">
      <c r="D288" s="178"/>
      <c r="E288" s="178"/>
      <c r="F288" s="178"/>
      <c r="G288" s="178"/>
      <c r="H288" s="178"/>
      <c r="I288" s="178"/>
      <c r="J288" s="178"/>
      <c r="K288" s="178"/>
      <c r="L288" s="178"/>
      <c r="M288" s="178"/>
      <c r="N288" s="178"/>
      <c r="O288" s="178"/>
      <c r="P288" s="176"/>
      <c r="Q288" s="176"/>
      <c r="T288" s="14"/>
      <c r="U288" s="1"/>
      <c r="V288" s="1"/>
      <c r="W288" s="1"/>
      <c r="X288" s="1"/>
      <c r="Y288" s="1"/>
      <c r="Z288" s="1"/>
      <c r="AA288" s="1"/>
      <c r="AB288" s="1"/>
      <c r="AC288" s="1"/>
      <c r="AD288" s="1"/>
      <c r="AE288" s="13"/>
    </row>
    <row r="289" spans="2:31">
      <c r="B289" s="161" t="s">
        <v>70</v>
      </c>
      <c r="C289" s="161"/>
      <c r="D289" s="176"/>
      <c r="E289" s="176"/>
      <c r="F289" s="176"/>
      <c r="G289" s="176"/>
      <c r="H289" s="176"/>
      <c r="I289" s="176"/>
      <c r="J289" s="176"/>
      <c r="K289" s="176"/>
      <c r="L289" s="176"/>
      <c r="M289" s="176"/>
      <c r="N289" s="176"/>
      <c r="O289" s="176"/>
      <c r="P289" s="1"/>
      <c r="Q289" s="1"/>
      <c r="T289" s="14"/>
      <c r="U289" s="1"/>
      <c r="V289" s="1"/>
      <c r="W289" s="1"/>
      <c r="X289" s="1"/>
      <c r="Y289" s="1"/>
      <c r="Z289" s="1"/>
      <c r="AA289" s="1"/>
      <c r="AB289" s="1"/>
      <c r="AC289" s="1"/>
      <c r="AD289" s="1"/>
      <c r="AE289" s="13"/>
    </row>
    <row r="290" spans="2:31">
      <c r="M290" s="3"/>
      <c r="O290" s="1"/>
      <c r="Q290" s="1"/>
      <c r="R290" s="1"/>
      <c r="S290" s="1"/>
      <c r="T290" s="15"/>
      <c r="U290" s="10"/>
      <c r="V290" s="10"/>
      <c r="W290" s="10"/>
      <c r="X290" s="10"/>
      <c r="Y290" s="10"/>
      <c r="Z290" s="10"/>
      <c r="AA290" s="10"/>
      <c r="AB290" s="10"/>
      <c r="AC290" s="10"/>
      <c r="AD290" s="10"/>
      <c r="AE290" s="4"/>
    </row>
    <row r="291" spans="2:31">
      <c r="O291" s="1"/>
      <c r="Q291" s="1"/>
      <c r="R291" s="1"/>
      <c r="S291" s="1"/>
    </row>
    <row r="292" spans="2:31">
      <c r="B292" s="5"/>
      <c r="C292" s="5"/>
      <c r="D292" s="5"/>
      <c r="Q292" s="1"/>
      <c r="R292" s="1"/>
      <c r="S292" s="1"/>
    </row>
    <row r="293" spans="2:31">
      <c r="R293" s="1"/>
      <c r="S293" s="1"/>
    </row>
    <row r="294" spans="2:31">
      <c r="R294" s="1"/>
      <c r="S294" s="1"/>
    </row>
  </sheetData>
  <sheetProtection password="E733" sheet="1" selectLockedCells="1" selectUnlockedCells="1"/>
  <mergeCells count="191">
    <mergeCell ref="T210:Y210"/>
    <mergeCell ref="T261:Y261"/>
    <mergeCell ref="D277:O277"/>
    <mergeCell ref="D278:O279"/>
    <mergeCell ref="D281:O284"/>
    <mergeCell ref="C272:O274"/>
    <mergeCell ref="E275:O276"/>
    <mergeCell ref="U274:Y274"/>
    <mergeCell ref="U275:Y275"/>
    <mergeCell ref="U270:Y270"/>
    <mergeCell ref="U276:Y276"/>
    <mergeCell ref="D263:O263"/>
    <mergeCell ref="U262:Y262"/>
    <mergeCell ref="U263:Y263"/>
    <mergeCell ref="U264:Y264"/>
    <mergeCell ref="D266:O269"/>
    <mergeCell ref="U265:Y265"/>
    <mergeCell ref="U266:Y266"/>
    <mergeCell ref="U267:Y267"/>
    <mergeCell ref="C257:O259"/>
    <mergeCell ref="U257:Y257"/>
    <mergeCell ref="U258:Y258"/>
    <mergeCell ref="U259:Y259"/>
    <mergeCell ref="E260:O262"/>
    <mergeCell ref="U268:Y268"/>
    <mergeCell ref="U248:Y248"/>
    <mergeCell ref="U249:Y249"/>
    <mergeCell ref="U250:Y250"/>
    <mergeCell ref="D251:O254"/>
    <mergeCell ref="T256:Y256"/>
    <mergeCell ref="C235:H235"/>
    <mergeCell ref="C237:O237"/>
    <mergeCell ref="U238:W238"/>
    <mergeCell ref="D240:O244"/>
    <mergeCell ref="T240:W240"/>
    <mergeCell ref="T241:W241"/>
    <mergeCell ref="T242:W242"/>
    <mergeCell ref="U23:W23"/>
    <mergeCell ref="U49:Y49"/>
    <mergeCell ref="U48:Y48"/>
    <mergeCell ref="U51:Y51"/>
    <mergeCell ref="U50:Y50"/>
    <mergeCell ref="U61:Y61"/>
    <mergeCell ref="U60:Y60"/>
    <mergeCell ref="U54:Y54"/>
    <mergeCell ref="U53:Y53"/>
    <mergeCell ref="U52:Y52"/>
    <mergeCell ref="U55:Y55"/>
    <mergeCell ref="U56:Y56"/>
    <mergeCell ref="T44:W44"/>
    <mergeCell ref="T43:W43"/>
    <mergeCell ref="T42:W42"/>
    <mergeCell ref="U40:W40"/>
    <mergeCell ref="U29:Y29"/>
    <mergeCell ref="U30:Y30"/>
    <mergeCell ref="U31:Y31"/>
    <mergeCell ref="U32:Y32"/>
    <mergeCell ref="U79:W79"/>
    <mergeCell ref="T46:Y46"/>
    <mergeCell ref="U62:Y62"/>
    <mergeCell ref="D65:O66"/>
    <mergeCell ref="D70:O73"/>
    <mergeCell ref="T80:W80"/>
    <mergeCell ref="U86:Y86"/>
    <mergeCell ref="C90:H90"/>
    <mergeCell ref="C92:O92"/>
    <mergeCell ref="U87:Y87"/>
    <mergeCell ref="U88:Y88"/>
    <mergeCell ref="U89:Y89"/>
    <mergeCell ref="U47:Y47"/>
    <mergeCell ref="T112:Y112"/>
    <mergeCell ref="U113:Y113"/>
    <mergeCell ref="U121:Y121"/>
    <mergeCell ref="F3:O6"/>
    <mergeCell ref="C63:O64"/>
    <mergeCell ref="B8:O8"/>
    <mergeCell ref="B9:O10"/>
    <mergeCell ref="B13:O13"/>
    <mergeCell ref="C23:I23"/>
    <mergeCell ref="C37:H37"/>
    <mergeCell ref="C20:H20"/>
    <mergeCell ref="D29:O33"/>
    <mergeCell ref="D42:O46"/>
    <mergeCell ref="C49:O50"/>
    <mergeCell ref="D52:O53"/>
    <mergeCell ref="B11:O11"/>
    <mergeCell ref="D56:O59"/>
    <mergeCell ref="T13:AE20"/>
    <mergeCell ref="T26:W26"/>
    <mergeCell ref="T25:W25"/>
    <mergeCell ref="T81:W81"/>
    <mergeCell ref="T82:W82"/>
    <mergeCell ref="D82:O85"/>
    <mergeCell ref="T24:W24"/>
    <mergeCell ref="U141:Y141"/>
    <mergeCell ref="U148:Y148"/>
    <mergeCell ref="D95:O99"/>
    <mergeCell ref="D118:O121"/>
    <mergeCell ref="U95:W95"/>
    <mergeCell ref="T97:W97"/>
    <mergeCell ref="T98:W98"/>
    <mergeCell ref="T99:W99"/>
    <mergeCell ref="D105:O108"/>
    <mergeCell ref="C111:O112"/>
    <mergeCell ref="E113:O114"/>
    <mergeCell ref="U114:Y114"/>
    <mergeCell ref="U115:Y115"/>
    <mergeCell ref="U116:Y116"/>
    <mergeCell ref="U123:Y123"/>
    <mergeCell ref="U124:Y124"/>
    <mergeCell ref="U102:Y102"/>
    <mergeCell ref="U103:Y103"/>
    <mergeCell ref="U104:Y104"/>
    <mergeCell ref="U108:Y108"/>
    <mergeCell ref="U119:Y119"/>
    <mergeCell ref="U120:Y120"/>
    <mergeCell ref="U117:Y117"/>
    <mergeCell ref="U118:Y118"/>
    <mergeCell ref="C126:H126"/>
    <mergeCell ref="C128:O128"/>
    <mergeCell ref="D131:O135"/>
    <mergeCell ref="U129:W129"/>
    <mergeCell ref="T131:W131"/>
    <mergeCell ref="T132:W132"/>
    <mergeCell ref="T133:W133"/>
    <mergeCell ref="U139:Y139"/>
    <mergeCell ref="U140:Y140"/>
    <mergeCell ref="U152:Y152"/>
    <mergeCell ref="U153:Y153"/>
    <mergeCell ref="U154:Y154"/>
    <mergeCell ref="U155:Y155"/>
    <mergeCell ref="U156:Y156"/>
    <mergeCell ref="C184:H184"/>
    <mergeCell ref="D142:O145"/>
    <mergeCell ref="C148:O150"/>
    <mergeCell ref="T147:Y147"/>
    <mergeCell ref="U150:Y150"/>
    <mergeCell ref="U151:Y151"/>
    <mergeCell ref="E151:O152"/>
    <mergeCell ref="D153:O153"/>
    <mergeCell ref="D171:O174"/>
    <mergeCell ref="U207:Y207"/>
    <mergeCell ref="U199:Y199"/>
    <mergeCell ref="D200:O203"/>
    <mergeCell ref="T205:Y205"/>
    <mergeCell ref="C206:O208"/>
    <mergeCell ref="T189:W189"/>
    <mergeCell ref="U157:Y157"/>
    <mergeCell ref="U158:Y158"/>
    <mergeCell ref="U160:Y160"/>
    <mergeCell ref="D229:O232"/>
    <mergeCell ref="D225:O225"/>
    <mergeCell ref="U223:Y223"/>
    <mergeCell ref="U212:Y212"/>
    <mergeCell ref="U213:Y213"/>
    <mergeCell ref="U214:Y214"/>
    <mergeCell ref="U215:Y215"/>
    <mergeCell ref="D211:O211"/>
    <mergeCell ref="D214:O217"/>
    <mergeCell ref="U216:Y216"/>
    <mergeCell ref="U224:Y224"/>
    <mergeCell ref="U217:Y217"/>
    <mergeCell ref="U219:Y219"/>
    <mergeCell ref="C220:O222"/>
    <mergeCell ref="E223:O224"/>
    <mergeCell ref="U225:Y225"/>
    <mergeCell ref="U211:Y211"/>
    <mergeCell ref="E209:O210"/>
    <mergeCell ref="U198:Y198"/>
    <mergeCell ref="T190:W190"/>
    <mergeCell ref="D122:O122"/>
    <mergeCell ref="D175:O175"/>
    <mergeCell ref="B180:O181"/>
    <mergeCell ref="B16:O17"/>
    <mergeCell ref="D226:O227"/>
    <mergeCell ref="U197:Y197"/>
    <mergeCell ref="C186:O186"/>
    <mergeCell ref="U187:W187"/>
    <mergeCell ref="D189:O193"/>
    <mergeCell ref="T191:W191"/>
    <mergeCell ref="U208:Y208"/>
    <mergeCell ref="C162:O164"/>
    <mergeCell ref="U149:Y149"/>
    <mergeCell ref="D168:O169"/>
    <mergeCell ref="U165:Y165"/>
    <mergeCell ref="U166:Y166"/>
    <mergeCell ref="U164:Y164"/>
    <mergeCell ref="D156:O159"/>
    <mergeCell ref="E165:O166"/>
    <mergeCell ref="D167:O167"/>
    <mergeCell ref="U206:Y206"/>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295"/>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77"/>
      <c r="D3" s="77"/>
      <c r="E3" s="77"/>
      <c r="F3" s="417" t="s">
        <v>361</v>
      </c>
      <c r="G3" s="417"/>
      <c r="H3" s="417"/>
      <c r="I3" s="417"/>
      <c r="J3" s="417"/>
      <c r="K3" s="417"/>
      <c r="L3" s="417"/>
      <c r="M3" s="417"/>
      <c r="N3" s="417"/>
      <c r="O3" s="417"/>
      <c r="R3" s="109"/>
    </row>
    <row r="4" spans="2:34" ht="15" customHeight="1">
      <c r="B4" s="77"/>
      <c r="C4" s="77"/>
      <c r="D4" s="77"/>
      <c r="E4" s="77"/>
      <c r="F4" s="417"/>
      <c r="G4" s="417"/>
      <c r="H4" s="417"/>
      <c r="I4" s="417"/>
      <c r="J4" s="417"/>
      <c r="K4" s="417"/>
      <c r="L4" s="417"/>
      <c r="M4" s="417"/>
      <c r="N4" s="417"/>
      <c r="O4" s="417"/>
      <c r="P4" s="99"/>
    </row>
    <row r="5" spans="2:34" ht="15" customHeight="1">
      <c r="B5" s="77"/>
      <c r="C5" s="77"/>
      <c r="D5" s="77"/>
      <c r="E5" s="77"/>
      <c r="F5" s="417"/>
      <c r="G5" s="417"/>
      <c r="H5" s="417"/>
      <c r="I5" s="417"/>
      <c r="J5" s="417"/>
      <c r="K5" s="417"/>
      <c r="L5" s="417"/>
      <c r="M5" s="417"/>
      <c r="N5" s="417"/>
      <c r="O5" s="417"/>
    </row>
    <row r="6" spans="2:34" ht="15" customHeight="1">
      <c r="B6" s="77"/>
      <c r="C6" s="77"/>
      <c r="D6" s="77"/>
      <c r="E6" s="77"/>
      <c r="F6" s="417"/>
      <c r="G6" s="417"/>
      <c r="H6" s="417"/>
      <c r="I6" s="417"/>
      <c r="J6" s="417"/>
      <c r="K6" s="417"/>
      <c r="L6" s="417"/>
      <c r="M6" s="417"/>
      <c r="N6" s="417"/>
      <c r="O6" s="417"/>
    </row>
    <row r="7" spans="2:34">
      <c r="B7" s="284"/>
      <c r="C7" s="284"/>
      <c r="D7" s="284"/>
      <c r="E7" s="284"/>
      <c r="F7" s="284"/>
      <c r="G7" s="284"/>
      <c r="H7" s="284"/>
      <c r="I7" s="284"/>
      <c r="J7" s="284"/>
      <c r="K7" s="284"/>
      <c r="L7" s="284"/>
      <c r="M7" s="284"/>
      <c r="N7" s="284"/>
    </row>
    <row r="8" spans="2:34" ht="15.75">
      <c r="B8" s="418" t="s">
        <v>34</v>
      </c>
      <c r="C8" s="418"/>
      <c r="D8" s="418"/>
      <c r="E8" s="418"/>
      <c r="F8" s="418"/>
      <c r="G8" s="418"/>
      <c r="H8" s="418"/>
      <c r="I8" s="418"/>
      <c r="J8" s="418"/>
      <c r="K8" s="418"/>
      <c r="L8" s="418"/>
      <c r="M8" s="418"/>
      <c r="N8" s="418"/>
      <c r="O8" s="418"/>
    </row>
    <row r="9" spans="2:34" ht="15" customHeight="1">
      <c r="B9" s="419" t="s">
        <v>33</v>
      </c>
      <c r="C9" s="419"/>
      <c r="D9" s="419"/>
      <c r="E9" s="419"/>
      <c r="F9" s="419"/>
      <c r="G9" s="419"/>
      <c r="H9" s="419"/>
      <c r="I9" s="419"/>
      <c r="J9" s="419"/>
      <c r="K9" s="419"/>
      <c r="L9" s="419"/>
      <c r="M9" s="419"/>
      <c r="N9" s="419"/>
      <c r="O9" s="419"/>
    </row>
    <row r="10" spans="2:34" ht="15" customHeight="1">
      <c r="B10" s="419"/>
      <c r="C10" s="419"/>
      <c r="D10" s="419"/>
      <c r="E10" s="419"/>
      <c r="F10" s="419"/>
      <c r="G10" s="419"/>
      <c r="H10" s="419"/>
      <c r="I10" s="419"/>
      <c r="J10" s="419"/>
      <c r="K10" s="419"/>
      <c r="L10" s="419"/>
      <c r="M10" s="419"/>
      <c r="N10" s="419"/>
      <c r="O10" s="419"/>
    </row>
    <row r="11" spans="2:34" ht="15.75">
      <c r="B11" s="418" t="s">
        <v>66</v>
      </c>
      <c r="C11" s="418"/>
      <c r="D11" s="418"/>
      <c r="E11" s="418"/>
      <c r="F11" s="418"/>
      <c r="G11" s="418"/>
      <c r="H11" s="418"/>
      <c r="I11" s="418"/>
      <c r="J11" s="418"/>
      <c r="K11" s="418"/>
      <c r="L11" s="418"/>
      <c r="M11" s="418"/>
      <c r="N11" s="418"/>
      <c r="O11" s="418"/>
      <c r="P11" s="99"/>
      <c r="Q11" s="99"/>
      <c r="R11" s="99"/>
      <c r="S11" s="99"/>
    </row>
    <row r="12" spans="2:34">
      <c r="R12" t="s">
        <v>7</v>
      </c>
    </row>
    <row r="13" spans="2:34">
      <c r="B13" s="296" t="s">
        <v>69</v>
      </c>
      <c r="C13" s="296"/>
      <c r="D13" s="296"/>
      <c r="E13" s="296"/>
      <c r="F13" s="296"/>
      <c r="G13" s="296"/>
      <c r="H13" s="296"/>
      <c r="I13" s="296"/>
      <c r="J13" s="296"/>
      <c r="K13" s="296"/>
      <c r="L13" s="296"/>
      <c r="M13" s="296"/>
      <c r="N13" s="296"/>
      <c r="O13" s="296"/>
      <c r="S13" s="109"/>
      <c r="T13" s="430" t="s">
        <v>32</v>
      </c>
      <c r="U13" s="430"/>
      <c r="V13" s="430"/>
      <c r="W13" s="430"/>
      <c r="X13" s="430"/>
      <c r="Y13" s="430"/>
      <c r="Z13" s="430"/>
      <c r="AA13" s="430"/>
      <c r="AB13" s="430"/>
      <c r="AC13" s="430"/>
      <c r="AD13" s="430"/>
      <c r="AE13" s="430"/>
      <c r="AF13" s="1"/>
      <c r="AG13" s="1"/>
      <c r="AH13" s="1"/>
    </row>
    <row r="14" spans="2:34" ht="16.5" customHeight="1">
      <c r="B14" s="272"/>
      <c r="C14" s="272"/>
      <c r="D14" s="272"/>
      <c r="E14" s="272"/>
      <c r="F14" s="272"/>
      <c r="G14" s="272"/>
      <c r="H14" s="272"/>
      <c r="I14" s="272"/>
      <c r="J14" s="272"/>
      <c r="K14" s="272"/>
      <c r="L14" s="272"/>
      <c r="M14" s="272"/>
      <c r="N14" s="272"/>
      <c r="O14" s="272"/>
      <c r="S14" s="109"/>
      <c r="T14" s="430"/>
      <c r="U14" s="430"/>
      <c r="V14" s="430"/>
      <c r="W14" s="430"/>
      <c r="X14" s="430"/>
      <c r="Y14" s="430"/>
      <c r="Z14" s="430"/>
      <c r="AA14" s="430"/>
      <c r="AB14" s="430"/>
      <c r="AC14" s="430"/>
      <c r="AD14" s="430"/>
      <c r="AE14" s="430"/>
      <c r="AF14" s="1"/>
      <c r="AG14" s="1"/>
      <c r="AH14" s="1"/>
    </row>
    <row r="15" spans="2:34" ht="15.75" thickBot="1">
      <c r="B15" s="228"/>
      <c r="C15" s="228"/>
      <c r="D15" s="228"/>
      <c r="E15" s="228"/>
      <c r="F15" s="228"/>
      <c r="G15" s="228"/>
      <c r="H15" s="228"/>
      <c r="I15" s="228"/>
      <c r="J15" s="228"/>
      <c r="K15" s="228"/>
      <c r="L15" s="228"/>
      <c r="M15" s="228"/>
      <c r="N15" s="228"/>
      <c r="O15" s="228"/>
      <c r="S15" s="109"/>
      <c r="T15" s="430"/>
      <c r="U15" s="430"/>
      <c r="V15" s="430"/>
      <c r="W15" s="430"/>
      <c r="X15" s="430"/>
      <c r="Y15" s="430"/>
      <c r="Z15" s="430"/>
      <c r="AA15" s="430"/>
      <c r="AB15" s="430"/>
      <c r="AC15" s="430"/>
      <c r="AD15" s="430"/>
      <c r="AE15" s="430"/>
      <c r="AF15" s="1"/>
      <c r="AG15" s="1"/>
      <c r="AH15" s="1"/>
    </row>
    <row r="16" spans="2:34" ht="15" customHeight="1">
      <c r="B16" s="382">
        <v>2020</v>
      </c>
      <c r="C16" s="382"/>
      <c r="D16" s="382"/>
      <c r="E16" s="382"/>
      <c r="F16" s="382"/>
      <c r="G16" s="382"/>
      <c r="H16" s="382"/>
      <c r="I16" s="382"/>
      <c r="J16" s="382"/>
      <c r="K16" s="382"/>
      <c r="L16" s="382"/>
      <c r="M16" s="382"/>
      <c r="N16" s="382"/>
      <c r="O16" s="382"/>
      <c r="S16" s="109"/>
      <c r="T16" s="430"/>
      <c r="U16" s="430"/>
      <c r="V16" s="430"/>
      <c r="W16" s="430"/>
      <c r="X16" s="430"/>
      <c r="Y16" s="430"/>
      <c r="Z16" s="430"/>
      <c r="AA16" s="430"/>
      <c r="AB16" s="430"/>
      <c r="AC16" s="430"/>
      <c r="AD16" s="430"/>
      <c r="AE16" s="430"/>
      <c r="AF16" s="1"/>
      <c r="AG16" s="1"/>
      <c r="AH16" s="1"/>
    </row>
    <row r="17" spans="2:34" ht="15.75" customHeight="1" thickBot="1">
      <c r="B17" s="383"/>
      <c r="C17" s="383"/>
      <c r="D17" s="383"/>
      <c r="E17" s="383"/>
      <c r="F17" s="383"/>
      <c r="G17" s="383"/>
      <c r="H17" s="383"/>
      <c r="I17" s="383"/>
      <c r="J17" s="383"/>
      <c r="K17" s="383"/>
      <c r="L17" s="383"/>
      <c r="M17" s="383"/>
      <c r="N17" s="383"/>
      <c r="O17" s="383"/>
      <c r="S17" s="109"/>
      <c r="T17" s="430"/>
      <c r="U17" s="430"/>
      <c r="V17" s="430"/>
      <c r="W17" s="430"/>
      <c r="X17" s="430"/>
      <c r="Y17" s="430"/>
      <c r="Z17" s="430"/>
      <c r="AA17" s="430"/>
      <c r="AB17" s="430"/>
      <c r="AC17" s="430"/>
      <c r="AD17" s="430"/>
      <c r="AE17" s="430"/>
      <c r="AF17" s="1"/>
      <c r="AG17" s="1"/>
      <c r="AH17" s="1"/>
    </row>
    <row r="18" spans="2:34">
      <c r="S18" s="109"/>
      <c r="T18" s="430"/>
      <c r="U18" s="430"/>
      <c r="V18" s="430"/>
      <c r="W18" s="430"/>
      <c r="X18" s="430"/>
      <c r="Y18" s="430"/>
      <c r="Z18" s="430"/>
      <c r="AA18" s="430"/>
      <c r="AB18" s="430"/>
      <c r="AC18" s="430"/>
      <c r="AD18" s="430"/>
      <c r="AE18" s="430"/>
      <c r="AF18" s="1"/>
      <c r="AG18" s="1"/>
      <c r="AH18" s="1"/>
    </row>
    <row r="19" spans="2:34">
      <c r="S19" s="109"/>
      <c r="T19" s="430"/>
      <c r="U19" s="430"/>
      <c r="V19" s="430"/>
      <c r="W19" s="430"/>
      <c r="X19" s="430"/>
      <c r="Y19" s="430"/>
      <c r="Z19" s="430"/>
      <c r="AA19" s="430"/>
      <c r="AB19" s="430"/>
      <c r="AC19" s="430"/>
      <c r="AD19" s="430"/>
      <c r="AE19" s="430"/>
      <c r="AF19" s="1"/>
      <c r="AG19" s="1"/>
      <c r="AH19" s="1"/>
    </row>
    <row r="20" spans="2:34" ht="19.5" customHeight="1" thickBot="1">
      <c r="B20" s="226"/>
      <c r="C20" s="414" t="s">
        <v>19</v>
      </c>
      <c r="D20" s="414"/>
      <c r="E20" s="414"/>
      <c r="F20" s="414"/>
      <c r="G20" s="414"/>
      <c r="H20" s="414"/>
      <c r="I20" s="227"/>
      <c r="J20" s="226"/>
      <c r="K20" s="226"/>
      <c r="L20" s="226"/>
      <c r="M20" s="226"/>
      <c r="N20" s="226"/>
      <c r="O20" s="226"/>
      <c r="T20" s="430"/>
      <c r="U20" s="430"/>
      <c r="V20" s="430"/>
      <c r="W20" s="430"/>
      <c r="X20" s="430"/>
      <c r="Y20" s="430"/>
      <c r="Z20" s="430"/>
      <c r="AA20" s="430"/>
      <c r="AB20" s="430"/>
      <c r="AC20" s="430"/>
      <c r="AD20" s="430"/>
      <c r="AE20" s="430"/>
      <c r="AF20" s="1"/>
      <c r="AG20" s="1"/>
      <c r="AH20" s="1"/>
    </row>
    <row r="21" spans="2:34" ht="15" customHeight="1">
      <c r="B21" s="1"/>
      <c r="C21" s="111"/>
      <c r="D21" s="111"/>
      <c r="E21" s="111"/>
      <c r="F21" s="111"/>
      <c r="G21" s="111"/>
      <c r="H21" s="111"/>
      <c r="I21" s="44"/>
      <c r="J21" s="1"/>
      <c r="K21" s="1"/>
      <c r="L21" s="1"/>
      <c r="M21" s="1"/>
      <c r="N21" s="1"/>
      <c r="O21" s="1"/>
      <c r="S21" s="109"/>
      <c r="T21" s="282"/>
      <c r="U21" s="282"/>
      <c r="V21" s="282"/>
      <c r="W21" s="282"/>
      <c r="X21" s="282"/>
      <c r="Y21" s="282"/>
      <c r="Z21" s="282"/>
      <c r="AA21" s="282"/>
      <c r="AB21" s="282"/>
      <c r="AC21" s="282"/>
      <c r="AD21" s="282"/>
      <c r="AE21" s="282"/>
      <c r="AF21" s="1"/>
      <c r="AG21" s="1"/>
      <c r="AH21" s="1"/>
    </row>
    <row r="22" spans="2:34">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c r="B23" s="40"/>
      <c r="C23" s="288" t="s">
        <v>28</v>
      </c>
      <c r="D23" s="288"/>
      <c r="E23" s="288"/>
      <c r="F23" s="288"/>
      <c r="G23" s="288"/>
      <c r="H23" s="288"/>
      <c r="I23" s="288"/>
      <c r="J23" s="40"/>
      <c r="K23" s="40"/>
      <c r="L23" s="40"/>
      <c r="M23" s="40"/>
      <c r="N23" s="40"/>
      <c r="O23" s="40"/>
      <c r="S23" s="109"/>
      <c r="T23" s="25"/>
      <c r="U23" s="379" t="s">
        <v>20</v>
      </c>
      <c r="V23" s="379"/>
      <c r="W23" s="379"/>
      <c r="X23" s="1"/>
      <c r="Y23" s="282" t="s">
        <v>6</v>
      </c>
      <c r="Z23" s="282"/>
      <c r="AA23" s="126"/>
      <c r="AB23" s="282" t="s">
        <v>23</v>
      </c>
      <c r="AC23" s="282"/>
      <c r="AD23" s="126"/>
      <c r="AE23" s="26" t="s">
        <v>24</v>
      </c>
      <c r="AF23" s="1"/>
      <c r="AG23" s="1"/>
      <c r="AH23" s="1"/>
    </row>
    <row r="24" spans="2:34" ht="15" customHeight="1">
      <c r="B24" s="40"/>
      <c r="C24" s="60" t="s">
        <v>7</v>
      </c>
      <c r="D24" s="273" t="s">
        <v>36</v>
      </c>
      <c r="E24" s="273"/>
      <c r="F24" s="273"/>
      <c r="G24" s="273"/>
      <c r="H24" s="273"/>
      <c r="I24" s="273"/>
      <c r="J24" s="271"/>
      <c r="K24" s="271"/>
      <c r="L24" s="271"/>
      <c r="M24" s="40"/>
      <c r="N24" s="40"/>
      <c r="O24" s="40"/>
      <c r="S24" s="109"/>
      <c r="T24" s="378" t="s">
        <v>21</v>
      </c>
      <c r="U24" s="379"/>
      <c r="V24" s="379"/>
      <c r="W24" s="379"/>
      <c r="X24" s="1"/>
      <c r="Y24" s="21">
        <f>'Mon Entreprise'!I71</f>
        <v>0</v>
      </c>
      <c r="Z24" s="21"/>
      <c r="AA24" s="22"/>
      <c r="AB24" s="21">
        <f>IF('Mon Entreprise'!I71-'Mon Entreprise'!M71&lt;0,0,'Mon Entreprise'!I71-'Mon Entreprise'!M71)</f>
        <v>0</v>
      </c>
      <c r="AC24" s="1"/>
      <c r="AD24" s="14"/>
      <c r="AE24" s="27">
        <f>IFERROR(1-'Mon Entreprise'!M71/'Mon Entreprise'!I71,0)</f>
        <v>0</v>
      </c>
      <c r="AF24" s="1"/>
      <c r="AG24" s="1"/>
      <c r="AH24" s="1"/>
    </row>
    <row r="25" spans="2:34" ht="15" customHeight="1">
      <c r="B25" s="40"/>
      <c r="C25" s="60"/>
      <c r="D25" s="60" t="str">
        <f>"Nombre de jours de fermetures au mois de Septembre : "&amp;IF(Annexes!M5=FALSE,0,IF(Annexes!O5=1,0,Annexes!O5-1))&amp;" jour(s)"</f>
        <v>Nombre de jours de fermetures au mois de Septembre : 0 jour(s)</v>
      </c>
      <c r="E25" s="60"/>
      <c r="F25" s="60"/>
      <c r="G25" s="60"/>
      <c r="H25" s="60"/>
      <c r="I25" s="60"/>
      <c r="J25" s="40"/>
      <c r="K25" s="40"/>
      <c r="L25" s="40"/>
      <c r="M25" s="40"/>
      <c r="N25" s="40"/>
      <c r="O25" s="40"/>
      <c r="S25" s="109"/>
      <c r="T25" s="378" t="s">
        <v>25</v>
      </c>
      <c r="U25" s="379"/>
      <c r="V25" s="379"/>
      <c r="W25" s="379"/>
      <c r="X25" s="1"/>
      <c r="Y25" s="21">
        <f>'Mon Entreprise'!I61*(Annexes!O5-1)/360</f>
        <v>0</v>
      </c>
      <c r="Z25" s="21"/>
      <c r="AA25" s="22"/>
      <c r="AB25" s="21">
        <f>IF('Mon Entreprise'!I61*(Annexes!O5-1)/360-'Mon Entreprise'!M71&lt;0,0,'Mon Entreprise'!I61*(Annexes!O5-1)/360-'Mon Entreprise'!M71)</f>
        <v>0</v>
      </c>
      <c r="AC25" s="7"/>
      <c r="AD25" s="14"/>
      <c r="AE25" s="27">
        <f>IFERROR(1-'Mon Entreprise'!M71/('Mon Entreprise'!I61*(Annexes!O5-1)/360),0)</f>
        <v>0</v>
      </c>
      <c r="AF25" s="1"/>
      <c r="AG25" s="1"/>
      <c r="AH25" s="1"/>
    </row>
    <row r="26" spans="2:34" ht="15" customHeight="1">
      <c r="B26" s="40"/>
      <c r="C26" s="60"/>
      <c r="D26" s="60"/>
      <c r="E26" s="273" t="str">
        <f>IF(Annexes!M5=FALSE,"Vous n'avez pas coché la case Fermeture administrative de Septembre à Octobre",IF(Annexes!O5=1,"Vous n'avez pas de jour de fermeture en septembre",""))</f>
        <v>Vous n'avez pas coché la case Fermeture administrative de Septembre à Octobre</v>
      </c>
      <c r="F26" s="100"/>
      <c r="G26" s="100"/>
      <c r="H26" s="100"/>
      <c r="I26" s="100"/>
      <c r="J26" s="100"/>
      <c r="K26" s="100"/>
      <c r="L26" s="100"/>
      <c r="M26" s="40"/>
      <c r="N26" s="40"/>
      <c r="O26" s="40"/>
      <c r="S26" s="109"/>
      <c r="T26" s="378" t="s">
        <v>22</v>
      </c>
      <c r="U26" s="379"/>
      <c r="V26" s="379"/>
      <c r="W26" s="379"/>
      <c r="X26" s="1"/>
      <c r="Y26" s="23" t="str">
        <f>IFERROR(IF(AND('Mon Entreprise'!K8&gt;=Annexes!U18,'Mon Entreprise'!K8&lt;=Annexes!U23),'Mon Entreprise'!I121,IF('Mon Entreprise'!K8&gt;=Annexes!S20,'Mon Entreprise'!I113,"NC")),"NC")</f>
        <v>NC</v>
      </c>
      <c r="Z26" s="23"/>
      <c r="AA26" s="22"/>
      <c r="AB26" s="23" t="str">
        <f>IFERROR(IF(AND('Mon Entreprise'!K8&gt;=Annexes!U18,'Mon Entreprise'!K8&lt;=Annexes!U23),IF('Mon Entreprise'!I121-'Mon Entreprise'!I74&lt;0,0,'Mon Entreprise'!I121-'Mon Entreprise'!I74),IF('Mon Entreprise'!K8&gt;=Annexes!S20,IF('Mon Entreprise'!I113-'Mon Entreprise'!I74&lt;0,0,'Mon Entreprise'!I113-'Mon Entreprise'!I74),"NC")),"NC")</f>
        <v>NC</v>
      </c>
      <c r="AC26" s="276"/>
      <c r="AD26" s="14"/>
      <c r="AE26" s="28" t="str">
        <f>IFERROR(IF(AND('Mon Entreprise'!K8&gt;=Annexes!U18,'Mon Entreprise'!K8&lt;=Annexes!U24),1-'Mon Entreprise'!I74/'Mon Entreprise'!I121,IF('Mon Entreprise'!K8&gt;=Annexes!S20,1-'Mon Entreprise'!I74/'Mon Entreprise'!I113,"NC")),"NC")</f>
        <v>NC</v>
      </c>
      <c r="AF26" s="1"/>
      <c r="AG26" s="1"/>
      <c r="AH26" s="1"/>
    </row>
    <row r="27" spans="2:34" ht="15" customHeight="1">
      <c r="B27" s="40"/>
      <c r="C27" s="60"/>
      <c r="D27" s="60" t="str">
        <f>IFERROR(IF('Mon Entreprise'!K8&gt;=Annexes!S20,IF(AB24&gt;=AB26,"Le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443"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Septembre",IF(AB32&gt;Annexes!S7*(Annexes!O5-1),"Dans votre cas, l'aide est Plafonnée sur 333 €/jour, soit "&amp;Annexes!S7*(Annexes!O5-1)&amp;"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44"/>
      <c r="F29" s="444"/>
      <c r="G29" s="444"/>
      <c r="H29" s="444"/>
      <c r="I29" s="444"/>
      <c r="J29" s="444"/>
      <c r="K29" s="444"/>
      <c r="L29" s="444"/>
      <c r="M29" s="444"/>
      <c r="N29" s="444"/>
      <c r="O29" s="445"/>
      <c r="S29" s="109"/>
      <c r="T29" s="14"/>
      <c r="U29" s="377" t="s">
        <v>74</v>
      </c>
      <c r="V29" s="377"/>
      <c r="W29" s="377"/>
      <c r="X29" s="377"/>
      <c r="Y29" s="377"/>
      <c r="Z29" s="280"/>
      <c r="AA29" s="14"/>
      <c r="AB29" s="276" t="str">
        <f>IF('Mon Entreprise'!K8&lt;=Annexes!U23,"Oui","Non")</f>
        <v>Oui</v>
      </c>
      <c r="AC29" s="1"/>
      <c r="AD29" s="1"/>
      <c r="AE29" s="13"/>
      <c r="AF29" s="1"/>
      <c r="AG29" s="1"/>
      <c r="AH29" s="1"/>
    </row>
    <row r="30" spans="2:34" ht="15" customHeight="1">
      <c r="B30" s="1"/>
      <c r="C30" s="1"/>
      <c r="D30" s="446"/>
      <c r="E30" s="435"/>
      <c r="F30" s="435"/>
      <c r="G30" s="435"/>
      <c r="H30" s="435"/>
      <c r="I30" s="435"/>
      <c r="J30" s="435"/>
      <c r="K30" s="435"/>
      <c r="L30" s="435"/>
      <c r="M30" s="435"/>
      <c r="N30" s="435"/>
      <c r="O30" s="447"/>
      <c r="P30" s="1"/>
      <c r="Q30" s="1"/>
      <c r="R30" s="1"/>
      <c r="S30" s="109"/>
      <c r="T30" s="14"/>
      <c r="U30" s="379" t="s">
        <v>81</v>
      </c>
      <c r="V30" s="379"/>
      <c r="W30" s="379"/>
      <c r="X30" s="379"/>
      <c r="Y30" s="379"/>
      <c r="Z30" s="276"/>
      <c r="AA30" s="14"/>
      <c r="AB30" s="276">
        <f>IF(Annexes!M5=FALSE,0,IF(Annexes!O5=1,0,Annexes!O5-1))</f>
        <v>0</v>
      </c>
      <c r="AC30" s="1"/>
      <c r="AD30" s="1"/>
      <c r="AE30" s="13"/>
      <c r="AF30" s="1"/>
      <c r="AG30" s="1"/>
      <c r="AH30" s="1"/>
    </row>
    <row r="31" spans="2:34" ht="15" hidden="1" customHeight="1">
      <c r="B31" s="1"/>
      <c r="C31" s="1"/>
      <c r="D31" s="446"/>
      <c r="E31" s="435"/>
      <c r="F31" s="435"/>
      <c r="G31" s="435"/>
      <c r="H31" s="435"/>
      <c r="I31" s="435"/>
      <c r="J31" s="435"/>
      <c r="K31" s="435"/>
      <c r="L31" s="435"/>
      <c r="M31" s="435"/>
      <c r="N31" s="435"/>
      <c r="O31" s="447"/>
      <c r="P31" s="1"/>
      <c r="Q31" s="1"/>
      <c r="R31" s="1"/>
      <c r="S31" s="1"/>
      <c r="T31" s="14"/>
      <c r="U31" s="379" t="s">
        <v>82</v>
      </c>
      <c r="V31" s="379"/>
      <c r="W31" s="379"/>
      <c r="X31" s="379"/>
      <c r="Y31" s="379"/>
      <c r="Z31" s="276"/>
      <c r="AA31" s="14"/>
      <c r="AB31" s="276" t="str">
        <f>IF(Annexes!M5=FALSE,"Non",IF(Annexes!O5=1,"Non","Oui"))</f>
        <v>Non</v>
      </c>
      <c r="AC31" s="1"/>
      <c r="AD31" s="1"/>
      <c r="AE31" s="13"/>
      <c r="AF31" s="1"/>
      <c r="AG31" s="1"/>
      <c r="AH31" s="1"/>
    </row>
    <row r="32" spans="2:34" ht="15" customHeight="1">
      <c r="B32" s="1"/>
      <c r="C32" s="1"/>
      <c r="D32" s="446"/>
      <c r="E32" s="435"/>
      <c r="F32" s="435"/>
      <c r="G32" s="435"/>
      <c r="H32" s="435"/>
      <c r="I32" s="435"/>
      <c r="J32" s="435"/>
      <c r="K32" s="435"/>
      <c r="L32" s="435"/>
      <c r="M32" s="435"/>
      <c r="N32" s="435"/>
      <c r="O32" s="447"/>
      <c r="P32" s="1"/>
      <c r="Q32" s="1"/>
      <c r="R32" s="1"/>
      <c r="S32" s="1"/>
      <c r="T32" s="14"/>
      <c r="U32" s="379" t="s">
        <v>93</v>
      </c>
      <c r="V32" s="379"/>
      <c r="W32" s="379"/>
      <c r="X32" s="379"/>
      <c r="Y32" s="379"/>
      <c r="Z32" s="130"/>
      <c r="AA32" s="14"/>
      <c r="AB32" s="276">
        <f>IF('Mon Entreprise'!K8&gt;=Annexes!S20,IF(AB24&gt;=AB26,AB24,AB26),IF(AB24&gt;=AB25,AB24,AB25))</f>
        <v>0</v>
      </c>
      <c r="AC32" s="1"/>
      <c r="AD32" s="1"/>
      <c r="AE32" s="13"/>
      <c r="AF32" s="1"/>
      <c r="AG32" s="1"/>
      <c r="AH32" s="1"/>
    </row>
    <row r="33" spans="2:34" ht="15.75" thickBot="1">
      <c r="B33" s="1"/>
      <c r="C33" s="1"/>
      <c r="D33" s="448"/>
      <c r="E33" s="449"/>
      <c r="F33" s="449"/>
      <c r="G33" s="449"/>
      <c r="H33" s="449"/>
      <c r="I33" s="449"/>
      <c r="J33" s="449"/>
      <c r="K33" s="449"/>
      <c r="L33" s="449"/>
      <c r="M33" s="449"/>
      <c r="N33" s="449"/>
      <c r="O33" s="450"/>
      <c r="P33" s="1"/>
      <c r="Q33" s="1"/>
      <c r="R33" s="1"/>
      <c r="S33" s="1"/>
      <c r="T33" s="14"/>
      <c r="U33" s="1"/>
      <c r="V33" s="1"/>
      <c r="W33" s="1"/>
      <c r="X33" s="1"/>
      <c r="Y33" s="1"/>
      <c r="Z33" s="1"/>
      <c r="AA33" s="1"/>
      <c r="AB33" s="1"/>
      <c r="AC33" s="1"/>
      <c r="AD33" s="1"/>
      <c r="AE33" s="13"/>
      <c r="AF33" s="1"/>
      <c r="AG33" s="1"/>
      <c r="AH33" s="1"/>
    </row>
    <row r="34" spans="2:34">
      <c r="B34" s="1"/>
      <c r="C34" s="1"/>
      <c r="D34" s="55" t="s">
        <v>86</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7"/>
      <c r="C37" s="414" t="s">
        <v>31</v>
      </c>
      <c r="D37" s="414"/>
      <c r="E37" s="414"/>
      <c r="F37" s="414"/>
      <c r="G37" s="414"/>
      <c r="H37" s="414"/>
      <c r="I37" s="227"/>
      <c r="J37" s="227"/>
      <c r="K37" s="227"/>
      <c r="L37" s="227"/>
      <c r="M37" s="227"/>
      <c r="N37" s="227"/>
      <c r="O37" s="227"/>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c r="B39" s="40"/>
      <c r="C39" s="60" t="s">
        <v>101</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c r="B40" s="40"/>
      <c r="C40" s="60"/>
      <c r="D40" s="121" t="s">
        <v>26</v>
      </c>
      <c r="E40" s="40"/>
      <c r="F40" s="40"/>
      <c r="G40" s="40"/>
      <c r="H40" s="40"/>
      <c r="I40" s="40"/>
      <c r="J40" s="40"/>
      <c r="K40" s="40"/>
      <c r="L40" s="40"/>
      <c r="M40" s="40"/>
      <c r="N40" s="40"/>
      <c r="O40" s="40"/>
      <c r="T40" s="25"/>
      <c r="U40" s="379" t="s">
        <v>20</v>
      </c>
      <c r="V40" s="379"/>
      <c r="W40" s="379"/>
      <c r="X40" s="1"/>
      <c r="Y40" s="282" t="s">
        <v>6</v>
      </c>
      <c r="Z40" s="282"/>
      <c r="AA40" s="282"/>
      <c r="AB40" s="282" t="s">
        <v>23</v>
      </c>
      <c r="AC40" s="282"/>
      <c r="AD40" s="282"/>
      <c r="AE40" s="26" t="s">
        <v>24</v>
      </c>
    </row>
    <row r="41" spans="2:34" ht="15.75" hidden="1" thickBot="1">
      <c r="B41" s="40"/>
      <c r="C41" s="60"/>
      <c r="D41" s="40"/>
      <c r="E41" s="40"/>
      <c r="F41" s="40"/>
      <c r="G41" s="40"/>
      <c r="H41" s="40"/>
      <c r="I41" s="40"/>
      <c r="J41" s="40"/>
      <c r="K41" s="40"/>
      <c r="L41" s="40"/>
      <c r="M41" s="40"/>
      <c r="N41" s="40"/>
      <c r="O41" s="40"/>
      <c r="T41" s="25"/>
      <c r="U41" s="282"/>
      <c r="V41" s="282"/>
      <c r="W41" s="282"/>
      <c r="X41" s="1"/>
      <c r="Y41" s="282"/>
      <c r="Z41" s="282"/>
      <c r="AA41" s="282"/>
      <c r="AB41" s="282"/>
      <c r="AC41" s="282"/>
      <c r="AD41" s="282"/>
      <c r="AE41" s="26"/>
    </row>
    <row r="42" spans="2:34" hidden="1">
      <c r="B42" s="40"/>
      <c r="C42" s="40"/>
      <c r="D42" s="420"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21"/>
      <c r="F42" s="421"/>
      <c r="G42" s="421"/>
      <c r="H42" s="421"/>
      <c r="I42" s="421"/>
      <c r="J42" s="421"/>
      <c r="K42" s="421"/>
      <c r="L42" s="421"/>
      <c r="M42" s="421"/>
      <c r="N42" s="421"/>
      <c r="O42" s="422"/>
      <c r="T42" s="378" t="s">
        <v>27</v>
      </c>
      <c r="U42" s="379"/>
      <c r="V42" s="379"/>
      <c r="W42" s="379"/>
      <c r="X42" s="1"/>
      <c r="Y42" s="7">
        <f>'Mon Entreprise'!I77</f>
        <v>0</v>
      </c>
      <c r="Z42" s="21"/>
      <c r="AA42" s="22"/>
      <c r="AB42" s="7">
        <f>IF('Mon Entreprise'!I77-'Mon Entreprise'!M77&lt;0,0,'Mon Entreprise'!I77-'Mon Entreprise'!M77)</f>
        <v>0</v>
      </c>
      <c r="AC42" s="1"/>
      <c r="AD42" s="14"/>
      <c r="AE42" s="27">
        <f>IFERROR(1-'Mon Entreprise'!M77/'Mon Entreprise'!I77,0)</f>
        <v>0</v>
      </c>
    </row>
    <row r="43" spans="2:34" ht="15" hidden="1" customHeight="1">
      <c r="D43" s="423"/>
      <c r="E43" s="390"/>
      <c r="F43" s="390"/>
      <c r="G43" s="390"/>
      <c r="H43" s="390"/>
      <c r="I43" s="390"/>
      <c r="J43" s="390"/>
      <c r="K43" s="390"/>
      <c r="L43" s="390"/>
      <c r="M43" s="390"/>
      <c r="N43" s="390"/>
      <c r="O43" s="424"/>
      <c r="T43" s="378" t="s">
        <v>25</v>
      </c>
      <c r="U43" s="379"/>
      <c r="V43" s="379"/>
      <c r="W43" s="379"/>
      <c r="X43" s="1"/>
      <c r="Y43" s="7">
        <f>'Mon Entreprise'!I63</f>
        <v>0</v>
      </c>
      <c r="Z43" s="21"/>
      <c r="AA43" s="22"/>
      <c r="AB43" s="7">
        <f>IF('Mon Entreprise'!I63-'Mon Entreprise'!M77&lt;0,0,'Mon Entreprise'!I63-'Mon Entreprise'!M77)</f>
        <v>0</v>
      </c>
      <c r="AC43" s="7"/>
      <c r="AD43" s="14"/>
      <c r="AE43" s="27">
        <f>IFERROR(1-'Mon Entreprise'!M77/'Mon Entreprise'!I63,0)</f>
        <v>0</v>
      </c>
    </row>
    <row r="44" spans="2:34" ht="15" hidden="1" customHeight="1">
      <c r="C44" s="104"/>
      <c r="D44" s="423"/>
      <c r="E44" s="390"/>
      <c r="F44" s="390"/>
      <c r="G44" s="390"/>
      <c r="H44" s="390"/>
      <c r="I44" s="390"/>
      <c r="J44" s="390"/>
      <c r="K44" s="390"/>
      <c r="L44" s="390"/>
      <c r="M44" s="390"/>
      <c r="N44" s="390"/>
      <c r="O44" s="424"/>
      <c r="Q44" s="99"/>
      <c r="R44" s="99"/>
      <c r="S44" s="99"/>
      <c r="T44" s="395" t="s">
        <v>22</v>
      </c>
      <c r="U44" s="396"/>
      <c r="V44" s="396"/>
      <c r="W44" s="396"/>
      <c r="X44" s="139"/>
      <c r="Y44" s="140" t="str">
        <f>IF('Mon Entreprise'!I112="","NC",'Mon Entreprise'!I112)</f>
        <v>NC</v>
      </c>
      <c r="Z44" s="141"/>
      <c r="AA44" s="142"/>
      <c r="AB44" s="143" t="str">
        <f>IFERROR(IF('Mon Entreprise'!I112-'Mon Entreprise'!M77&lt;0,0,'Mon Entreprise'!I112-'Mon Entreprise'!M77),"NC")</f>
        <v>NC</v>
      </c>
      <c r="AC44" s="278"/>
      <c r="AD44" s="145"/>
      <c r="AE44" s="146" t="str">
        <f>IFERROR(1-'Mon Entreprise'!M77/'Mon Entreprise'!I112,"NC")</f>
        <v>NC</v>
      </c>
      <c r="AF44" s="99"/>
    </row>
    <row r="45" spans="2:34" ht="15" hidden="1" customHeight="1">
      <c r="C45" s="104"/>
      <c r="D45" s="423"/>
      <c r="E45" s="390"/>
      <c r="F45" s="390"/>
      <c r="G45" s="390"/>
      <c r="H45" s="390"/>
      <c r="I45" s="390"/>
      <c r="J45" s="390"/>
      <c r="K45" s="390"/>
      <c r="L45" s="390"/>
      <c r="M45" s="390"/>
      <c r="N45" s="390"/>
      <c r="O45" s="424"/>
      <c r="T45" s="14"/>
      <c r="U45" s="1"/>
      <c r="V45" s="1"/>
      <c r="W45" s="1"/>
      <c r="X45" s="1"/>
      <c r="Y45" s="1"/>
      <c r="Z45" s="1"/>
      <c r="AA45" s="1"/>
      <c r="AB45" s="1"/>
      <c r="AC45" s="1"/>
      <c r="AD45" s="1"/>
      <c r="AE45" s="13"/>
    </row>
    <row r="46" spans="2:34" ht="15.75" hidden="1" customHeight="1" thickBot="1">
      <c r="C46" s="104"/>
      <c r="D46" s="425"/>
      <c r="E46" s="426"/>
      <c r="F46" s="426"/>
      <c r="G46" s="426"/>
      <c r="H46" s="426"/>
      <c r="I46" s="426"/>
      <c r="J46" s="426"/>
      <c r="K46" s="426"/>
      <c r="L46" s="426"/>
      <c r="M46" s="426"/>
      <c r="N46" s="426"/>
      <c r="O46" s="427"/>
      <c r="T46" s="440" t="s">
        <v>4</v>
      </c>
      <c r="U46" s="377"/>
      <c r="V46" s="377"/>
      <c r="W46" s="377"/>
      <c r="X46" s="377"/>
      <c r="Y46" s="377"/>
      <c r="Z46" s="124"/>
      <c r="AA46" s="14"/>
      <c r="AB46" s="19">
        <f>IFERROR(IF('Mon Entreprise'!K8&lt;Annexes!S17,IF(1-'Mon Entreprise'!M83/'Mon Entreprise'!I83&gt;=1-'Mon Entreprise'!M83/('Mon Entreprise'!I63*2),1-'Mon Entreprise'!M83/'Mon Entreprise'!I83,1-'Mon Entreprise'!M83/('Mon Entreprise'!I63*2)),1-'Mon Entreprise'!M83/'Mon Entreprise'!I126),0)</f>
        <v>0</v>
      </c>
      <c r="AC46" s="1"/>
      <c r="AD46" s="1"/>
      <c r="AE46" s="13"/>
    </row>
    <row r="47" spans="2:34" ht="18.75" customHeight="1">
      <c r="C47" s="80"/>
      <c r="D47" s="80"/>
      <c r="E47" s="80"/>
      <c r="F47" s="80"/>
      <c r="G47" s="80"/>
      <c r="H47" s="80"/>
      <c r="I47" s="80"/>
      <c r="J47" s="80"/>
      <c r="K47" s="80"/>
      <c r="L47" s="80"/>
      <c r="M47" s="80"/>
      <c r="N47" s="80"/>
      <c r="O47" s="80"/>
      <c r="T47" s="14"/>
      <c r="U47" s="377" t="s">
        <v>8</v>
      </c>
      <c r="V47" s="377"/>
      <c r="W47" s="377"/>
      <c r="X47" s="377"/>
      <c r="Y47" s="377"/>
      <c r="Z47" s="124"/>
      <c r="AA47" s="14"/>
      <c r="AB47" s="276" t="str">
        <f>IF((AND(Annexes!F5&gt;1,Annexes!F5&lt;=Annexes!H6)),"OUI","NON")</f>
        <v>NON</v>
      </c>
      <c r="AC47" s="1"/>
      <c r="AD47" s="1"/>
      <c r="AE47" s="13"/>
    </row>
    <row r="48" spans="2:34" ht="15" customHeight="1">
      <c r="T48" s="14"/>
      <c r="U48" s="442" t="s">
        <v>9</v>
      </c>
      <c r="V48" s="442"/>
      <c r="W48" s="442"/>
      <c r="X48" s="442"/>
      <c r="Y48" s="442"/>
      <c r="Z48" s="125"/>
      <c r="AA48" s="14"/>
      <c r="AB48" s="276" t="str">
        <f>IF((AND(Annexes!F7&gt;1,Annexes!F7&lt;=Annexes!H8)),"OUI","NON")</f>
        <v>NON</v>
      </c>
      <c r="AC48" s="1"/>
      <c r="AD48" s="1"/>
      <c r="AE48" s="13"/>
    </row>
    <row r="49" spans="3:31" ht="15" customHeight="1">
      <c r="C49" s="428" t="s">
        <v>72</v>
      </c>
      <c r="D49" s="428"/>
      <c r="E49" s="428"/>
      <c r="F49" s="428"/>
      <c r="G49" s="428"/>
      <c r="H49" s="428"/>
      <c r="I49" s="428"/>
      <c r="J49" s="428"/>
      <c r="K49" s="428"/>
      <c r="L49" s="428"/>
      <c r="M49" s="428"/>
      <c r="N49" s="428"/>
      <c r="O49" s="428"/>
      <c r="T49" s="14"/>
      <c r="U49" s="377" t="s">
        <v>73</v>
      </c>
      <c r="V49" s="377"/>
      <c r="W49" s="377"/>
      <c r="X49" s="377"/>
      <c r="Y49" s="377"/>
      <c r="Z49" s="124"/>
      <c r="AA49" s="14"/>
      <c r="AB49" s="276">
        <f>IF(AB47="OUI",Annexes!S6,IF(AND(AB48="OUI",AB46&gt;=0.8),Annexes!S6,Annexes!S5))</f>
        <v>1500</v>
      </c>
      <c r="AC49" s="1"/>
      <c r="AD49" s="1"/>
      <c r="AE49" s="13"/>
    </row>
    <row r="50" spans="3:31" ht="15" customHeight="1">
      <c r="C50" s="428"/>
      <c r="D50" s="428"/>
      <c r="E50" s="428"/>
      <c r="F50" s="428"/>
      <c r="G50" s="428"/>
      <c r="H50" s="428"/>
      <c r="I50" s="428"/>
      <c r="J50" s="428"/>
      <c r="K50" s="428"/>
      <c r="L50" s="428"/>
      <c r="M50" s="428"/>
      <c r="N50" s="428"/>
      <c r="O50" s="428"/>
      <c r="T50" s="14"/>
      <c r="U50" s="377" t="s">
        <v>74</v>
      </c>
      <c r="V50" s="377"/>
      <c r="W50" s="377"/>
      <c r="X50" s="377"/>
      <c r="Y50" s="377"/>
      <c r="Z50" s="124"/>
      <c r="AA50" s="14"/>
      <c r="AB50" s="276" t="str">
        <f>IF('Mon Entreprise'!K8&lt;=Annexes!U24,"Oui","Non")</f>
        <v>Oui</v>
      </c>
      <c r="AC50" s="1"/>
      <c r="AD50" s="1"/>
      <c r="AE50" s="13"/>
    </row>
    <row r="51" spans="3:31" ht="15" customHeight="1">
      <c r="C51" s="58"/>
      <c r="D51" s="121" t="str">
        <f>IF(Annexes!M9=FALSE,"-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377" t="s">
        <v>87</v>
      </c>
      <c r="V51" s="377"/>
      <c r="W51" s="377"/>
      <c r="X51" s="377"/>
      <c r="Y51" s="377"/>
      <c r="Z51" s="124"/>
      <c r="AA51" s="14"/>
      <c r="AB51" s="276">
        <f>IF('Mon Entreprise'!K8&gt;=Annexes!S20,IF(AB42&gt;=AB44,AB42,AB44),IF(AB42&gt;=AB43,AB42,AB43))</f>
        <v>0</v>
      </c>
      <c r="AC51" s="1"/>
      <c r="AD51" s="1"/>
      <c r="AE51" s="13"/>
    </row>
    <row r="52" spans="3:31" ht="15" customHeight="1">
      <c r="C52" s="58"/>
      <c r="D52" s="429"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429"/>
      <c r="F52" s="429"/>
      <c r="G52" s="429"/>
      <c r="H52" s="429"/>
      <c r="I52" s="429"/>
      <c r="J52" s="429"/>
      <c r="K52" s="429"/>
      <c r="L52" s="429"/>
      <c r="M52" s="429"/>
      <c r="N52" s="429"/>
      <c r="O52" s="429"/>
      <c r="T52" s="14"/>
      <c r="U52" s="377" t="s">
        <v>88</v>
      </c>
      <c r="V52" s="377"/>
      <c r="W52" s="377"/>
      <c r="X52" s="377"/>
      <c r="Y52" s="377"/>
      <c r="Z52" s="124"/>
      <c r="AA52" s="14"/>
      <c r="AB52" s="19">
        <f>IF('Mon Entreprise'!K8&gt;=Annexes!S20,IF(AB42&gt;=AB44,AE42,AE44),IF(AB42&gt;=AB43,AE42,AE43))</f>
        <v>0</v>
      </c>
      <c r="AC52" s="1"/>
      <c r="AD52" s="1"/>
      <c r="AE52" s="13"/>
    </row>
    <row r="53" spans="3:31" ht="15" customHeight="1">
      <c r="C53" s="58"/>
      <c r="D53" s="429"/>
      <c r="E53" s="429"/>
      <c r="F53" s="429"/>
      <c r="G53" s="429"/>
      <c r="H53" s="429"/>
      <c r="I53" s="429"/>
      <c r="J53" s="429"/>
      <c r="K53" s="429"/>
      <c r="L53" s="429"/>
      <c r="M53" s="429"/>
      <c r="N53" s="429"/>
      <c r="O53" s="429"/>
      <c r="T53" s="14"/>
      <c r="U53" s="377" t="s">
        <v>75</v>
      </c>
      <c r="V53" s="377"/>
      <c r="W53" s="377"/>
      <c r="X53" s="377"/>
      <c r="Y53" s="377"/>
      <c r="Z53" s="124"/>
      <c r="AA53" s="14"/>
      <c r="AB53" s="276">
        <f>IF(AB52&gt;=0.7,IF(AB47="OUI",Annexes!S6,IF(AND(AB48="OUI",AB46&gt;=0.8),Annexes!S6,0)),IF(AB52&gt;=0.5,IF(AB47="OUI",Annexes!S5,IF(AND(AB48="OUI",AB46&gt;=0.8),Annexes!S5,0)),0))</f>
        <v>0</v>
      </c>
      <c r="AC53" s="1"/>
      <c r="AD53" s="1"/>
      <c r="AE53" s="13"/>
    </row>
    <row r="54" spans="3:31" ht="15" customHeight="1">
      <c r="C54" s="58"/>
      <c r="D54" s="121" t="str">
        <f>IFERROR(IF('Mon Entreprise'!K8&gt;=Annexes!S20,IF(AB42&gt;=AB44,"-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377" t="s">
        <v>76</v>
      </c>
      <c r="V54" s="377"/>
      <c r="W54" s="377"/>
      <c r="X54" s="377"/>
      <c r="Y54" s="377"/>
      <c r="Z54" s="124"/>
      <c r="AA54" s="14"/>
      <c r="AB54" s="276">
        <f>IF(AB52&gt;=0.7,IF(AB47="OUI",Annexes!T6,IF(AND(AB48="OUI",AB46&gt;=0.8),Annexes!T6,1)),1)</f>
        <v>1</v>
      </c>
      <c r="AC54" s="1"/>
      <c r="AD54" s="1"/>
      <c r="AE54" s="13"/>
    </row>
    <row r="55" spans="3:31" ht="15" customHeight="1" thickBot="1">
      <c r="C55" s="58"/>
      <c r="D55" s="58"/>
      <c r="E55" s="58"/>
      <c r="F55" s="58"/>
      <c r="G55" s="58"/>
      <c r="H55" s="58"/>
      <c r="I55" s="58"/>
      <c r="J55" s="58"/>
      <c r="K55" s="58"/>
      <c r="L55" s="58"/>
      <c r="M55" s="58"/>
      <c r="N55" s="58"/>
      <c r="O55" s="58"/>
      <c r="T55" s="14"/>
      <c r="U55" s="379" t="s">
        <v>83</v>
      </c>
      <c r="V55" s="379"/>
      <c r="W55" s="379"/>
      <c r="X55" s="379"/>
      <c r="Y55" s="379"/>
      <c r="Z55" s="1"/>
      <c r="AA55" s="14"/>
      <c r="AB55" s="276">
        <f>IF('Mon Entreprise'!K8&gt;=Annexes!S20,IF(AB42&gt;=AB44,Y42,Y44),IF(AB42&gt;=AB43,Y42,Y43))</f>
        <v>0</v>
      </c>
      <c r="AC55" s="1"/>
      <c r="AD55" s="1"/>
      <c r="AE55" s="13"/>
    </row>
    <row r="56" spans="3:31" ht="15.75" customHeight="1">
      <c r="D56" s="400" t="str">
        <f>IFERROR(IF(AB50="Non","Vous avez débuté votre activité après le 30 Septembre 2020, vous ne pouvez donc pas bénéficier de cette aide",IF(Annexes!M9=FALSE,"L'entreprise ne semble pas avoir été impactée par le couvre-Feu de 21H à 6H",IF(AB52&gt;=0.5,IF(AB49=Annexes!S6,IF(AB51&gt;=Annexes!S6,"Dans votre cas, l'aide est Plafonnée, à "&amp;Annexes!S6&amp;" € pour le mois d'octobre",IF(AB51=0,"Vous n'avez pas indiqué de CA de référence","Vous pouvez bénéficier, au titre de cette aide, d'un montant de "&amp;ROUND(AB51,0)&amp;" € pour le mois d'octobre")),IF(AB49=Annexes!S5,IF(AB51&gt;Annexes!S5,"Dans votre cas, l'aide est Plafonnée, à "&amp;Annexes!S5&amp;"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01"/>
      <c r="F56" s="401"/>
      <c r="G56" s="401"/>
      <c r="H56" s="401"/>
      <c r="I56" s="401"/>
      <c r="J56" s="401"/>
      <c r="K56" s="401"/>
      <c r="L56" s="401"/>
      <c r="M56" s="401"/>
      <c r="N56" s="401"/>
      <c r="O56" s="402"/>
      <c r="T56" s="14"/>
      <c r="U56" s="379" t="s">
        <v>89</v>
      </c>
      <c r="V56" s="379"/>
      <c r="W56" s="379"/>
      <c r="X56" s="379"/>
      <c r="Y56" s="379"/>
      <c r="Z56" s="1"/>
      <c r="AA56" s="14"/>
      <c r="AB56" s="276">
        <f>IFERROR(IF(AB51&gt;AB55*AB54,IF(AND(AB51&gt;1500,1500&gt;AB55*AB54),1500,IF(1500&gt;AB51,AB51,AB55*AB54)),AB51),0)</f>
        <v>0</v>
      </c>
      <c r="AC56" s="1"/>
      <c r="AD56" s="1"/>
      <c r="AE56" s="13"/>
    </row>
    <row r="57" spans="3:31" ht="15" customHeight="1">
      <c r="D57" s="403"/>
      <c r="E57" s="404"/>
      <c r="F57" s="404"/>
      <c r="G57" s="404"/>
      <c r="H57" s="404"/>
      <c r="I57" s="404"/>
      <c r="J57" s="404"/>
      <c r="K57" s="404"/>
      <c r="L57" s="404"/>
      <c r="M57" s="404"/>
      <c r="N57" s="404"/>
      <c r="O57" s="405"/>
      <c r="T57" s="14"/>
      <c r="U57" s="1"/>
      <c r="V57" s="1"/>
      <c r="W57" s="1"/>
      <c r="X57" s="1"/>
      <c r="Y57" s="1"/>
      <c r="Z57" s="1"/>
      <c r="AA57" s="1"/>
      <c r="AB57" s="1"/>
      <c r="AC57" s="1"/>
      <c r="AD57" s="1"/>
      <c r="AE57" s="13"/>
    </row>
    <row r="58" spans="3:31" ht="15" customHeight="1">
      <c r="D58" s="403"/>
      <c r="E58" s="404"/>
      <c r="F58" s="404"/>
      <c r="G58" s="404"/>
      <c r="H58" s="404"/>
      <c r="I58" s="404"/>
      <c r="J58" s="404"/>
      <c r="K58" s="404"/>
      <c r="L58" s="404"/>
      <c r="M58" s="404"/>
      <c r="N58" s="404"/>
      <c r="O58" s="405"/>
      <c r="T58" s="14"/>
      <c r="U58" s="1"/>
      <c r="V58" s="1"/>
      <c r="W58" s="1"/>
      <c r="X58" s="1"/>
      <c r="Y58" s="1"/>
      <c r="Z58" s="1"/>
      <c r="AA58" s="1"/>
      <c r="AB58" s="1"/>
      <c r="AC58" s="1"/>
      <c r="AD58" s="1"/>
      <c r="AE58" s="13"/>
    </row>
    <row r="59" spans="3:31" ht="15" customHeight="1" thickBot="1">
      <c r="D59" s="406"/>
      <c r="E59" s="407"/>
      <c r="F59" s="407"/>
      <c r="G59" s="407"/>
      <c r="H59" s="407"/>
      <c r="I59" s="407"/>
      <c r="J59" s="407"/>
      <c r="K59" s="407"/>
      <c r="L59" s="407"/>
      <c r="M59" s="407"/>
      <c r="N59" s="407"/>
      <c r="O59" s="408"/>
      <c r="T59" s="14"/>
      <c r="U59" s="1"/>
      <c r="V59" s="1"/>
      <c r="W59" s="1"/>
      <c r="X59" s="1"/>
      <c r="Y59" s="1"/>
      <c r="Z59" s="1"/>
      <c r="AA59" s="1"/>
      <c r="AB59" s="1"/>
      <c r="AC59" s="1"/>
      <c r="AD59" s="1"/>
      <c r="AE59" s="13"/>
    </row>
    <row r="60" spans="3:31" ht="15.75" customHeight="1">
      <c r="T60" s="14"/>
      <c r="U60" s="379" t="s">
        <v>77</v>
      </c>
      <c r="V60" s="379"/>
      <c r="W60" s="379"/>
      <c r="X60" s="379"/>
      <c r="Y60" s="379"/>
      <c r="Z60" s="1"/>
      <c r="AA60" s="14"/>
      <c r="AB60" s="1">
        <f>IFERROR(IF(AB50="Non",0,IF(Annexes!M9=FALSE,0,IF(AB52&gt;=0.5,IF(AB49=Annexes!S6,IF(AB51&gt;=Annexes!S6,Annexes!S6,IF(AB51=0,0,ROUND(AB51,0))),IF(AB49=Annexes!S5,IF(AB51&gt;Annexes!S5,Annexes!S5,IF(AB51=0,0,ROUND(AB51,0))),)),0))),0)</f>
        <v>0</v>
      </c>
      <c r="AC60" s="1"/>
      <c r="AD60" s="1"/>
      <c r="AE60" s="13"/>
    </row>
    <row r="61" spans="3:31" ht="15" customHeight="1">
      <c r="C61" s="78"/>
      <c r="D61" s="78"/>
      <c r="E61" s="78"/>
      <c r="F61" s="78"/>
      <c r="G61" s="78"/>
      <c r="H61" s="78"/>
      <c r="I61" s="78"/>
      <c r="J61" s="78"/>
      <c r="K61" s="78"/>
      <c r="L61" s="78"/>
      <c r="M61" s="78"/>
      <c r="N61" s="78"/>
      <c r="O61" s="78"/>
      <c r="T61" s="14"/>
      <c r="U61" s="379" t="s">
        <v>78</v>
      </c>
      <c r="V61" s="379"/>
      <c r="W61" s="379"/>
      <c r="X61" s="379"/>
      <c r="Y61" s="379"/>
      <c r="Z61" s="1"/>
      <c r="AA61" s="14"/>
      <c r="AB61" s="1">
        <f>IFERROR(IF(AB50="Non",0,IF(AB52&gt;=0.7,IF(AB47="OUI",IF(AB56&gt;=Annexes!S6,Annexes!S6,ROUND(AB56,0)),IF(AND(AB48="OUI",AB46&gt;=0.8),IF(AB56&gt;=Annexes!S6,Annexes!S6,ROUND(AB56,0)),0)),IF(AB52&gt;=0.5,IF(AB47="OUI",IF(AB51&gt;=Annexes!S5,Annexes!S5,ROUND(AB51,0)),IF(AND(AB48="OUI",AB46&gt;=0.8),IF(AB51&gt;=Annexes!S5,Annexes!S5,ROUND(AB51,0)),0)),0))),0)</f>
        <v>0</v>
      </c>
      <c r="AC61" s="1"/>
      <c r="AD61" s="1"/>
      <c r="AE61" s="13"/>
    </row>
    <row r="62" spans="3:31" ht="15" customHeight="1">
      <c r="T62" s="14"/>
      <c r="U62" s="379" t="s">
        <v>79</v>
      </c>
      <c r="V62" s="379"/>
      <c r="W62" s="379"/>
      <c r="X62" s="379"/>
      <c r="Y62" s="379"/>
      <c r="Z62" s="1"/>
      <c r="AA62" s="14"/>
      <c r="AB62" s="1">
        <f>IFERROR(IF(AB86="NON",0,IF(AB88="Non",0,IF(AB89&gt;Annexes!S7*(Annexes!Q5-1),IF(Annexes!S7*(Annexes!Q5-1)&gt;10000,10000,Annexes!S7*(Annexes!Q5-1)),ROUND(IF(AB89&gt;10000,10000,AB89),0)))),0)</f>
        <v>0</v>
      </c>
      <c r="AC62" s="1"/>
      <c r="AD62" s="1"/>
      <c r="AE62" s="13"/>
    </row>
    <row r="63" spans="3:31" ht="15" customHeight="1">
      <c r="C63" s="415" t="s">
        <v>80</v>
      </c>
      <c r="D63" s="415"/>
      <c r="E63" s="415"/>
      <c r="F63" s="415"/>
      <c r="G63" s="415"/>
      <c r="H63" s="415"/>
      <c r="I63" s="415"/>
      <c r="J63" s="415"/>
      <c r="K63" s="415"/>
      <c r="L63" s="415"/>
      <c r="M63" s="415"/>
      <c r="N63" s="415"/>
      <c r="O63" s="415"/>
      <c r="P63" s="40"/>
      <c r="T63" s="14"/>
      <c r="U63" s="1"/>
      <c r="V63" s="1"/>
      <c r="W63" s="1"/>
      <c r="X63" s="1"/>
      <c r="Y63" s="1"/>
      <c r="Z63" s="1"/>
      <c r="AA63" s="1"/>
      <c r="AB63" s="1"/>
      <c r="AC63" s="1"/>
      <c r="AD63" s="1"/>
      <c r="AE63" s="13"/>
    </row>
    <row r="64" spans="3:31" ht="15" customHeight="1">
      <c r="C64" s="415"/>
      <c r="D64" s="415"/>
      <c r="E64" s="415"/>
      <c r="F64" s="415"/>
      <c r="G64" s="415"/>
      <c r="H64" s="415"/>
      <c r="I64" s="415"/>
      <c r="J64" s="415"/>
      <c r="K64" s="415"/>
      <c r="L64" s="415"/>
      <c r="M64" s="415"/>
      <c r="N64" s="415"/>
      <c r="O64" s="415"/>
      <c r="P64" s="40"/>
      <c r="T64" s="14"/>
      <c r="U64" s="1"/>
      <c r="V64" s="1"/>
      <c r="W64" s="1"/>
      <c r="X64" s="1"/>
      <c r="Y64" s="1"/>
      <c r="Z64" s="1"/>
      <c r="AA64" s="1"/>
      <c r="AB64" s="1"/>
      <c r="AC64" s="1"/>
      <c r="AD64" s="1"/>
      <c r="AE64" s="13"/>
    </row>
    <row r="65" spans="2:31" ht="15" customHeight="1">
      <c r="C65" s="60"/>
      <c r="D65" s="441"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5" s="441"/>
      <c r="F65" s="441"/>
      <c r="G65" s="441"/>
      <c r="H65" s="441"/>
      <c r="I65" s="441"/>
      <c r="J65" s="441"/>
      <c r="K65" s="441"/>
      <c r="L65" s="441"/>
      <c r="M65" s="441"/>
      <c r="N65" s="441"/>
      <c r="O65" s="441"/>
      <c r="P65" s="40"/>
      <c r="T65" s="14"/>
      <c r="U65" s="1"/>
      <c r="V65" s="1"/>
      <c r="W65" s="1"/>
      <c r="X65" s="1"/>
      <c r="Y65" s="1"/>
      <c r="Z65" s="1"/>
      <c r="AA65" s="1"/>
      <c r="AB65" s="1"/>
      <c r="AC65" s="1"/>
      <c r="AD65" s="1"/>
      <c r="AE65" s="13"/>
    </row>
    <row r="66" spans="2:31" ht="15" customHeight="1">
      <c r="C66" s="60"/>
      <c r="D66" s="441"/>
      <c r="E66" s="441"/>
      <c r="F66" s="441"/>
      <c r="G66" s="441"/>
      <c r="H66" s="441"/>
      <c r="I66" s="441"/>
      <c r="J66" s="441"/>
      <c r="K66" s="441"/>
      <c r="L66" s="441"/>
      <c r="M66" s="441"/>
      <c r="N66" s="441"/>
      <c r="O66" s="441"/>
      <c r="P66" s="40"/>
      <c r="T66" s="275"/>
      <c r="U66" s="1"/>
      <c r="V66" s="1"/>
      <c r="W66" s="1"/>
      <c r="X66" s="1"/>
      <c r="Y66" s="1"/>
      <c r="Z66" s="1"/>
      <c r="AA66" s="1"/>
      <c r="AB66" s="1"/>
      <c r="AC66" s="1"/>
      <c r="AD66" s="1"/>
      <c r="AE66" s="13"/>
    </row>
    <row r="67" spans="2:31" ht="15" customHeight="1">
      <c r="C67" s="60"/>
      <c r="D67" s="60" t="str">
        <f>IFERROR(IF('Mon Entreprise'!K8&gt;=Annexes!S20,IF(AB42&gt;=AB44,"-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7" s="60"/>
      <c r="F67" s="60"/>
      <c r="G67" s="60"/>
      <c r="H67" s="122"/>
      <c r="I67" s="60"/>
      <c r="J67" s="60"/>
      <c r="K67" s="60"/>
      <c r="M67" s="60"/>
      <c r="N67" s="60"/>
      <c r="O67" s="60"/>
      <c r="P67" s="40"/>
      <c r="T67" s="29"/>
      <c r="U67" s="1"/>
      <c r="V67" s="1"/>
      <c r="W67" s="1"/>
      <c r="X67" s="1"/>
      <c r="Y67" s="1"/>
      <c r="Z67" s="1"/>
      <c r="AA67" s="1"/>
      <c r="AB67" s="1"/>
      <c r="AC67" s="1"/>
      <c r="AD67" s="1"/>
      <c r="AE67" s="13"/>
    </row>
    <row r="68" spans="2:31" ht="15" customHeight="1">
      <c r="C68" s="60"/>
      <c r="D68"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8" s="60"/>
      <c r="F68" s="60"/>
      <c r="G68" s="60"/>
      <c r="H68" s="60"/>
      <c r="I68" s="60"/>
      <c r="J68" s="60"/>
      <c r="K68" s="60"/>
      <c r="L68" s="60"/>
      <c r="M68" s="60"/>
      <c r="N68" s="60"/>
      <c r="O68" s="60"/>
      <c r="P68" s="40"/>
      <c r="T68" s="14"/>
      <c r="U68" s="1"/>
      <c r="V68" s="1"/>
      <c r="W68" s="1"/>
      <c r="X68" s="1"/>
      <c r="Y68" s="1"/>
      <c r="Z68" s="1"/>
      <c r="AA68" s="1"/>
      <c r="AB68" s="1"/>
      <c r="AC68" s="1"/>
      <c r="AD68" s="1"/>
      <c r="AE68" s="13"/>
    </row>
    <row r="69" spans="2:31" ht="15" customHeight="1" thickBot="1">
      <c r="T69" s="30"/>
      <c r="U69" s="1"/>
      <c r="V69" s="1"/>
      <c r="W69" s="1"/>
      <c r="X69" s="1"/>
      <c r="Y69" s="1"/>
      <c r="Z69" s="1"/>
      <c r="AA69" s="1"/>
      <c r="AB69" s="1"/>
      <c r="AC69" s="1"/>
      <c r="AD69" s="1"/>
      <c r="AE69" s="13"/>
    </row>
    <row r="70" spans="2:31" ht="15" customHeight="1">
      <c r="D70" s="400" t="str">
        <f>IFERROR(IF(AB50="Non","Vous avez débuté votre activité après le 30 Septembre 2020, vous ne pouvez donc pas bénéficier de cette aide",IF(AB52&gt;=0.7,IF(AB47="OUI",IF(AB56&gt;=Annexes!S6,"Dans votre cas, l'aide est Plafonnée, à "&amp;Annexes!S6&amp;" € pour le mois d'octobre","Vous pouvez bénéficier, au titre de cette aide, d'un montant de "&amp;ROUND(AB56,0)&amp;" € pour le mois d'octobre"),IF(AND(AB48="OUI",AB46&gt;=0.8),IF(AB56&gt;=Annexes!S6,"Dans votre cas, l'aide est Plafonnée, à "&amp;Annexes!S6&amp;"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aide")),IF(AB52&gt;=0.5,IF(AB47="OUI",IF(AB51&gt;=Annexes!S5,"Dans votre cas, l'aide est Plafonnée, à "&amp;Annexes!S5&amp;" € pour le mois d'octobre","Vous pouvez bénéficier, au titre de cette aide, d'un montant de "&amp;ROUND(AB51,0)&amp;" € pour le mois d'octobre"),IF(AND(AB48="OUI",AB46&gt;=0.8),IF(AB51&gt;=Annexes!S5,"Dans votre cas, l'aide est Plafonnée, à "&amp;Annexes!S5&amp;"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70" s="401"/>
      <c r="F70" s="401"/>
      <c r="G70" s="401"/>
      <c r="H70" s="401"/>
      <c r="I70" s="401"/>
      <c r="J70" s="401"/>
      <c r="K70" s="401"/>
      <c r="L70" s="401"/>
      <c r="M70" s="401"/>
      <c r="N70" s="401"/>
      <c r="O70" s="402"/>
      <c r="T70" s="20"/>
      <c r="U70" s="38"/>
      <c r="V70" s="1"/>
      <c r="W70" s="1"/>
      <c r="X70" s="1"/>
      <c r="Y70" s="1"/>
      <c r="Z70" s="1"/>
      <c r="AA70" s="1"/>
      <c r="AB70" s="1"/>
      <c r="AC70" s="1"/>
      <c r="AD70" s="1"/>
      <c r="AE70" s="13"/>
    </row>
    <row r="71" spans="2:31" ht="15.75" customHeight="1">
      <c r="D71" s="403"/>
      <c r="E71" s="404"/>
      <c r="F71" s="404"/>
      <c r="G71" s="404"/>
      <c r="H71" s="404"/>
      <c r="I71" s="404"/>
      <c r="J71" s="404"/>
      <c r="K71" s="404"/>
      <c r="L71" s="404"/>
      <c r="M71" s="404"/>
      <c r="N71" s="404"/>
      <c r="O71" s="405"/>
      <c r="T71" s="14"/>
      <c r="U71" s="1"/>
      <c r="V71" s="1"/>
      <c r="W71" s="1"/>
      <c r="X71" s="1"/>
      <c r="Y71" s="1"/>
      <c r="Z71" s="1"/>
      <c r="AA71" s="1"/>
      <c r="AB71" s="1"/>
      <c r="AC71" s="1"/>
      <c r="AD71" s="1"/>
      <c r="AE71" s="13"/>
    </row>
    <row r="72" spans="2:31" ht="15.75" customHeight="1">
      <c r="D72" s="403"/>
      <c r="E72" s="404"/>
      <c r="F72" s="404"/>
      <c r="G72" s="404"/>
      <c r="H72" s="404"/>
      <c r="I72" s="404"/>
      <c r="J72" s="404"/>
      <c r="K72" s="404"/>
      <c r="L72" s="404"/>
      <c r="M72" s="404"/>
      <c r="N72" s="404"/>
      <c r="O72" s="405"/>
      <c r="T72" s="14"/>
      <c r="U72" s="1"/>
      <c r="V72" s="1"/>
      <c r="W72" s="1"/>
      <c r="X72" s="1"/>
      <c r="Y72" s="1"/>
      <c r="Z72" s="1"/>
      <c r="AA72" s="1"/>
      <c r="AB72" s="1"/>
      <c r="AC72" s="1"/>
      <c r="AD72" s="1"/>
      <c r="AE72" s="13"/>
    </row>
    <row r="73" spans="2:31" ht="15" customHeight="1" thickBot="1">
      <c r="D73" s="406"/>
      <c r="E73" s="407"/>
      <c r="F73" s="407"/>
      <c r="G73" s="407"/>
      <c r="H73" s="407"/>
      <c r="I73" s="407"/>
      <c r="J73" s="407"/>
      <c r="K73" s="407"/>
      <c r="L73" s="407"/>
      <c r="M73" s="407"/>
      <c r="N73" s="407"/>
      <c r="O73" s="408"/>
      <c r="T73" s="14"/>
      <c r="U73" s="1"/>
      <c r="V73" s="1"/>
      <c r="W73" s="1"/>
      <c r="X73" s="1"/>
      <c r="Y73" s="1"/>
      <c r="Z73" s="1"/>
      <c r="AA73" s="1"/>
      <c r="AB73" s="1"/>
      <c r="AC73" s="1"/>
      <c r="AD73" s="1"/>
      <c r="AE73" s="13"/>
    </row>
    <row r="74" spans="2:31" ht="15" customHeight="1">
      <c r="C74" s="1"/>
      <c r="D74" s="1"/>
      <c r="E74" s="1"/>
      <c r="F74" s="1"/>
      <c r="G74" s="1"/>
      <c r="H74" s="1"/>
      <c r="I74" s="1"/>
      <c r="J74" s="1"/>
      <c r="K74" s="1"/>
      <c r="L74" s="1"/>
      <c r="M74" s="1"/>
      <c r="N74" s="1"/>
      <c r="O74" s="1"/>
      <c r="T74" s="14"/>
      <c r="U74" s="1"/>
      <c r="V74" s="1"/>
      <c r="W74" s="1"/>
      <c r="X74" s="1"/>
      <c r="Y74" s="1"/>
      <c r="Z74" s="1"/>
      <c r="AA74" s="1"/>
      <c r="AB74" s="1"/>
      <c r="AC74" s="1"/>
      <c r="AD74" s="1"/>
      <c r="AE74" s="13"/>
    </row>
    <row r="75" spans="2:31" ht="15" customHeight="1">
      <c r="C75" s="127"/>
      <c r="D75" s="127"/>
      <c r="E75" s="10"/>
      <c r="F75" s="10"/>
      <c r="G75" s="10"/>
      <c r="H75" s="10"/>
      <c r="I75" s="10"/>
      <c r="J75" s="10"/>
      <c r="K75" s="10"/>
      <c r="L75" s="10"/>
      <c r="M75" s="128"/>
      <c r="N75" s="10"/>
      <c r="O75" s="10"/>
      <c r="T75" s="14"/>
      <c r="U75" s="1"/>
      <c r="V75" s="1"/>
      <c r="W75" s="1"/>
      <c r="X75" s="1"/>
      <c r="Y75" s="1"/>
      <c r="Z75" s="1"/>
      <c r="AA75" s="1"/>
      <c r="AB75" s="1"/>
      <c r="AC75" s="1"/>
      <c r="AD75" s="1"/>
      <c r="AE75" s="13"/>
    </row>
    <row r="76" spans="2:31" ht="15.75" customHeight="1">
      <c r="B76" s="5"/>
      <c r="C76" s="5"/>
      <c r="D76" s="5"/>
      <c r="P76" s="1"/>
      <c r="T76" s="14"/>
      <c r="U76" s="1"/>
      <c r="V76" s="1"/>
      <c r="W76" s="1"/>
      <c r="X76" s="1"/>
      <c r="Y76" s="1"/>
      <c r="Z76" s="1"/>
      <c r="AA76" s="1"/>
      <c r="AB76" s="1"/>
      <c r="AC76" s="1"/>
      <c r="AD76" s="1"/>
      <c r="AE76" s="13"/>
    </row>
    <row r="77" spans="2:31" ht="15" customHeight="1">
      <c r="B77" s="58"/>
      <c r="C77" s="121" t="s">
        <v>63</v>
      </c>
      <c r="D77" s="121"/>
      <c r="E77" s="60"/>
      <c r="F77" s="60"/>
      <c r="G77" s="60"/>
      <c r="H77" s="60"/>
      <c r="I77" s="60"/>
      <c r="J77" s="60"/>
      <c r="K77" s="60"/>
      <c r="L77" s="273"/>
      <c r="M77" s="60"/>
      <c r="N77" s="60"/>
      <c r="O77" s="60"/>
      <c r="P77" s="44"/>
      <c r="T77" s="14"/>
      <c r="U77" s="1"/>
      <c r="V77" s="1"/>
      <c r="W77" s="1"/>
      <c r="X77" s="1"/>
      <c r="Y77" s="1"/>
      <c r="Z77" s="1"/>
      <c r="AA77" s="1"/>
      <c r="AB77" s="1"/>
      <c r="AC77" s="1"/>
      <c r="AD77" s="1"/>
      <c r="AE77" s="13"/>
    </row>
    <row r="78" spans="2:31" ht="15" customHeight="1">
      <c r="B78" s="40"/>
      <c r="C78" s="60"/>
      <c r="D78" s="60" t="str">
        <f>"- Nombre de jours de fermetures au mois d'octobre : "&amp;IF(Annexes!M5=FALSE,0,IF(Annexes!Q5=1,0,Annexes!Q5-1))&amp;" jour(s)"</f>
        <v>- Nombre de jours de fermetures au mois d'octobre : 0 jour(s)</v>
      </c>
      <c r="E78" s="60"/>
      <c r="F78" s="60"/>
      <c r="G78" s="60"/>
      <c r="H78" s="60"/>
      <c r="I78" s="60"/>
      <c r="J78" s="60"/>
      <c r="K78" s="60"/>
      <c r="L78" s="60"/>
      <c r="M78" s="60"/>
      <c r="N78" s="60"/>
      <c r="O78" s="60"/>
      <c r="P78" s="44"/>
      <c r="Q78" s="44"/>
      <c r="R78" s="1"/>
      <c r="S78" s="1"/>
      <c r="T78" s="14"/>
      <c r="U78" s="1"/>
      <c r="V78" s="1"/>
      <c r="W78" s="1"/>
      <c r="X78" s="1"/>
      <c r="Y78" s="1"/>
      <c r="Z78" s="1"/>
      <c r="AA78" s="1"/>
      <c r="AB78" s="1"/>
      <c r="AC78" s="1"/>
      <c r="AD78" s="1"/>
      <c r="AE78" s="13"/>
    </row>
    <row r="79" spans="2:31" ht="15" customHeight="1">
      <c r="B79" s="58"/>
      <c r="C79" s="121"/>
      <c r="D79" s="121"/>
      <c r="E79" s="60" t="str">
        <f>IF(Annexes!M5=FALSE,"Vous n'avez pas coché la case Fermeture administrative de Septembre à Octobre",IF(Annexes!Q5=1,"Vous n'avez pas de jour de fermeture en Octobre",""))</f>
        <v>Vous n'avez pas coché la case Fermeture administrative de Septembre à Octobre</v>
      </c>
      <c r="F79" s="60"/>
      <c r="G79" s="60"/>
      <c r="H79" s="60"/>
      <c r="I79" s="60"/>
      <c r="J79" s="60"/>
      <c r="K79" s="60"/>
      <c r="L79" s="60"/>
      <c r="M79" s="60"/>
      <c r="N79" s="60"/>
      <c r="O79" s="60"/>
      <c r="P79" s="61"/>
      <c r="Q79" s="44"/>
      <c r="R79" s="44"/>
      <c r="S79" s="1"/>
      <c r="T79" s="189"/>
      <c r="U79" s="379" t="s">
        <v>20</v>
      </c>
      <c r="V79" s="379"/>
      <c r="W79" s="379"/>
      <c r="X79" s="1"/>
      <c r="Y79" s="282" t="s">
        <v>6</v>
      </c>
      <c r="Z79" s="282"/>
      <c r="AA79" s="282"/>
      <c r="AB79" s="282" t="s">
        <v>23</v>
      </c>
      <c r="AC79" s="282"/>
      <c r="AD79" s="282"/>
      <c r="AE79" s="26" t="s">
        <v>24</v>
      </c>
    </row>
    <row r="80" spans="2:31" ht="15" customHeight="1">
      <c r="B80" s="62"/>
      <c r="C80" s="123"/>
      <c r="D80" s="123" t="str">
        <f>IFERROR(IF('Mon Entreprise'!K8&gt;=Annexes!S20,IF(AB80&gt;=AB82,"- Le CA de référence est celui d'octobre 2019, soit une perte de "&amp;ROUND(AB80,0)&amp;" €"&amp;" ==&gt; "&amp;ROUND(AE80*100,0)&amp;" %","- Le CA de référence est celui de la création, soit une perte de "&amp;ROUND(AB82,0)&amp;" €"&amp;" ==&gt; "&amp;ROUND(AE82*100,0)&amp;" %"),IF(AB80&gt;=AB81,"- Le CA de référence est celui d'Octobre 2019, soit une perte de "&amp;ROUND(AB80,0)&amp;" €"&amp;" ==&gt; "&amp;ROUND(AE80*100,0)&amp;" %","- Le CA de référence est celui de l'exercice 2019, soit une perte de "&amp;ROUND(AB81,0)&amp;" €"&amp;" ==&gt; "&amp;ROUND(AE81*100,0)&amp;" %")),"")</f>
        <v>- Le CA de référence est celui d'Octobre 2019, soit une perte de 0 € ==&gt; 0 %</v>
      </c>
      <c r="E80" s="60"/>
      <c r="F80" s="60"/>
      <c r="G80" s="60"/>
      <c r="H80" s="60"/>
      <c r="I80" s="60"/>
      <c r="J80" s="60"/>
      <c r="K80" s="60"/>
      <c r="L80" s="60"/>
      <c r="M80" s="60"/>
      <c r="N80" s="60"/>
      <c r="O80" s="60"/>
      <c r="P80" s="40"/>
      <c r="Q80" s="44"/>
      <c r="R80" s="44"/>
      <c r="S80" s="1"/>
      <c r="T80" s="378" t="s">
        <v>29</v>
      </c>
      <c r="U80" s="379"/>
      <c r="V80" s="379"/>
      <c r="W80" s="379"/>
      <c r="X80" s="1"/>
      <c r="Y80" s="7">
        <f>'Mon Entreprise'!M74</f>
        <v>0</v>
      </c>
      <c r="Z80" s="21"/>
      <c r="AA80" s="22"/>
      <c r="AB80" s="7">
        <f>IF('Mon Entreprise'!I74-'Mon Entreprise'!M74&lt;0,0,'Mon Entreprise'!I74-'Mon Entreprise'!M74)</f>
        <v>0</v>
      </c>
      <c r="AC80" s="1"/>
      <c r="AD80" s="14"/>
      <c r="AE80" s="27">
        <f>IFERROR(1-'Mon Entreprise'!M74/'Mon Entreprise'!I74,0)</f>
        <v>0</v>
      </c>
    </row>
    <row r="81" spans="1:31" ht="15" customHeight="1" thickBot="1">
      <c r="C81" s="5"/>
      <c r="D81" s="5"/>
      <c r="Q81" s="61"/>
      <c r="R81" s="44"/>
      <c r="S81" s="1"/>
      <c r="T81" s="378" t="s">
        <v>25</v>
      </c>
      <c r="U81" s="379"/>
      <c r="V81" s="379"/>
      <c r="W81" s="379"/>
      <c r="X81" s="1"/>
      <c r="Y81" s="7">
        <f>'Mon Entreprise'!I61*(Annexes!O5-1)/360</f>
        <v>0</v>
      </c>
      <c r="Z81" s="21"/>
      <c r="AA81" s="22"/>
      <c r="AB81" s="7">
        <f>IF('Mon Entreprise'!I61*(Annexes!Q5-1)/360-'Mon Entreprise'!M74&lt;0,0,'Mon Entreprise'!I61*(Annexes!Q5-1)/360-'Mon Entreprise'!M74)</f>
        <v>0</v>
      </c>
      <c r="AC81" s="7"/>
      <c r="AD81" s="14"/>
      <c r="AE81" s="27">
        <f>IFERROR(1-'Mon Entreprise'!M74/('Mon Entreprise'!I61*(Annexes!Q5-1)/360),0)</f>
        <v>0</v>
      </c>
    </row>
    <row r="82" spans="1:31" ht="15" customHeight="1">
      <c r="B82" s="5"/>
      <c r="C82" s="5"/>
      <c r="D82" s="431" t="str">
        <f>IFERROR(IF(AB86="NON","Vous avez débuté votre activité après le 30 Septembre 2020, vous ne pouvez donc pas bénéficier de cette aide",IF(AB88="Non","Vous n'avez pas eu de fermeture administrative en octobre, vous ne pouvez donc pas bénéficier de cette aide",IF(AB89&gt;Annexes!S7*(Annexes!Q5-1),"Dans votre cas, l'aide est Plafonnée sur 333 €/jour, soit "&amp;IF(Annexes!S7*(Annexes!Q5-1)&gt;10000,10000,Annexes!S7*(Annexes!Q5-1))&amp;" €, pour le mois d'octobre","Vous pouvez bénéficier, au titre de cette aide, d'un montant de "&amp;ROUND(IF(AB89&gt;10000,10000,AB89),0)&amp;" € pour le mois d'octobre"))),"Vous n'avez pas indiqué de chiffre d'affaires de référence")</f>
        <v>Vous n'avez pas eu de fermeture administrative en octobre, vous ne pouvez donc pas bénéficier de cette aide</v>
      </c>
      <c r="E82" s="432"/>
      <c r="F82" s="432"/>
      <c r="G82" s="432"/>
      <c r="H82" s="432"/>
      <c r="I82" s="432"/>
      <c r="J82" s="432"/>
      <c r="K82" s="432"/>
      <c r="L82" s="432"/>
      <c r="M82" s="432"/>
      <c r="N82" s="432"/>
      <c r="O82" s="433"/>
      <c r="Q82" s="40"/>
      <c r="R82" s="61"/>
      <c r="T82" s="378" t="s">
        <v>22</v>
      </c>
      <c r="U82" s="379"/>
      <c r="V82" s="379"/>
      <c r="W82" s="379"/>
      <c r="X82" s="1"/>
      <c r="Y82" s="18" t="str">
        <f>IFERROR(IF('Mon Entreprise'!K8&gt;=Annexes!S20,'Mon Entreprise'!I114,"NC"),"NC")</f>
        <v>NC</v>
      </c>
      <c r="Z82" s="23"/>
      <c r="AA82" s="22"/>
      <c r="AB82" s="37" t="str">
        <f>IFERROR(IF('Mon Entreprise'!K8&gt;=Annexes!S20,IF('Mon Entreprise'!I114-'Mon Entreprise'!M74&lt;0,0,'Mon Entreprise'!I114-'Mon Entreprise'!M74),"NC"),"NC")</f>
        <v>NC</v>
      </c>
      <c r="AC82" s="276"/>
      <c r="AD82" s="14"/>
      <c r="AE82" s="28" t="str">
        <f>IFERROR(IF('Mon Entreprise'!K8&gt;=Annexes!S20,1-'Mon Entreprise'!M74/'Mon Entreprise'!I114,"NC"),"NC")</f>
        <v>NC</v>
      </c>
    </row>
    <row r="83" spans="1:31" ht="15" customHeight="1">
      <c r="B83" s="5"/>
      <c r="C83" s="5"/>
      <c r="D83" s="434"/>
      <c r="E83" s="435"/>
      <c r="F83" s="435"/>
      <c r="G83" s="435"/>
      <c r="H83" s="435"/>
      <c r="I83" s="435"/>
      <c r="J83" s="435"/>
      <c r="K83" s="435"/>
      <c r="L83" s="435"/>
      <c r="M83" s="435"/>
      <c r="N83" s="435"/>
      <c r="O83" s="436"/>
      <c r="Q83" s="40"/>
      <c r="R83" s="61"/>
      <c r="T83" s="275"/>
      <c r="U83" s="276"/>
      <c r="V83" s="276"/>
      <c r="W83" s="276"/>
      <c r="X83" s="1"/>
      <c r="Y83" s="18"/>
      <c r="Z83" s="23"/>
      <c r="AA83" s="21"/>
      <c r="AB83" s="37"/>
      <c r="AC83" s="276"/>
      <c r="AD83" s="1"/>
      <c r="AE83" s="28"/>
    </row>
    <row r="84" spans="1:31" ht="15" customHeight="1">
      <c r="B84" s="5"/>
      <c r="C84" s="5"/>
      <c r="D84" s="434"/>
      <c r="E84" s="435"/>
      <c r="F84" s="435"/>
      <c r="G84" s="435"/>
      <c r="H84" s="435"/>
      <c r="I84" s="435"/>
      <c r="J84" s="435"/>
      <c r="K84" s="435"/>
      <c r="L84" s="435"/>
      <c r="M84" s="435"/>
      <c r="N84" s="435"/>
      <c r="O84" s="436"/>
      <c r="R84" s="40"/>
      <c r="T84" s="14"/>
      <c r="U84" s="1"/>
      <c r="V84" s="1"/>
      <c r="W84" s="1"/>
      <c r="X84" s="1"/>
      <c r="Y84" s="1"/>
      <c r="Z84" s="1"/>
      <c r="AA84" s="1"/>
      <c r="AB84" s="1"/>
      <c r="AC84" s="1"/>
      <c r="AD84" s="1"/>
      <c r="AE84" s="13"/>
    </row>
    <row r="85" spans="1:31" ht="15.75" customHeight="1" thickBot="1">
      <c r="C85" s="5"/>
      <c r="D85" s="437"/>
      <c r="E85" s="438"/>
      <c r="F85" s="438"/>
      <c r="G85" s="438"/>
      <c r="H85" s="438"/>
      <c r="I85" s="438"/>
      <c r="J85" s="438"/>
      <c r="K85" s="438"/>
      <c r="L85" s="438"/>
      <c r="M85" s="438"/>
      <c r="N85" s="438"/>
      <c r="O85" s="439"/>
      <c r="T85" s="14"/>
      <c r="U85" s="1"/>
      <c r="V85" s="1"/>
      <c r="W85" s="1"/>
      <c r="X85" s="1"/>
      <c r="Y85" s="1"/>
      <c r="Z85" s="1"/>
      <c r="AA85" s="1"/>
      <c r="AB85" s="1"/>
      <c r="AC85" s="1"/>
      <c r="AD85" s="1"/>
      <c r="AE85" s="13"/>
    </row>
    <row r="86" spans="1:31" ht="15" hidden="1" customHeight="1">
      <c r="B86" s="5"/>
      <c r="C86" s="5"/>
      <c r="D86" s="5"/>
      <c r="T86" s="14"/>
      <c r="U86" s="377" t="s">
        <v>74</v>
      </c>
      <c r="V86" s="377"/>
      <c r="W86" s="377"/>
      <c r="X86" s="377"/>
      <c r="Y86" s="377"/>
      <c r="Z86" s="280"/>
      <c r="AA86" s="14"/>
      <c r="AB86" s="276" t="str">
        <f>IF('Mon Entreprise'!K8&lt;=Annexes!U24,"Oui","Non")</f>
        <v>Oui</v>
      </c>
      <c r="AC86" s="1"/>
      <c r="AD86" s="1"/>
      <c r="AE86" s="13"/>
    </row>
    <row r="87" spans="1:31" ht="15" customHeight="1">
      <c r="A87" s="5"/>
      <c r="B87" s="5"/>
      <c r="C87" s="5"/>
      <c r="T87" s="14"/>
      <c r="U87" s="379" t="s">
        <v>81</v>
      </c>
      <c r="V87" s="379"/>
      <c r="W87" s="379"/>
      <c r="X87" s="379"/>
      <c r="Y87" s="379"/>
      <c r="Z87" s="276"/>
      <c r="AA87" s="14"/>
      <c r="AB87" s="276">
        <f>IF(Annexes!M5=FALSE,0,IF(Annexes!Q5=1,0,Annexes!Q5-1))</f>
        <v>0</v>
      </c>
      <c r="AC87" s="1"/>
      <c r="AD87" s="1"/>
      <c r="AE87" s="13"/>
    </row>
    <row r="88" spans="1:31" ht="15.75" customHeight="1">
      <c r="T88" s="14"/>
      <c r="U88" s="379" t="s">
        <v>82</v>
      </c>
      <c r="V88" s="379"/>
      <c r="W88" s="379"/>
      <c r="X88" s="379"/>
      <c r="Y88" s="379"/>
      <c r="Z88" s="276"/>
      <c r="AA88" s="14"/>
      <c r="AB88" s="276" t="str">
        <f>IF(Annexes!M5=FALSE,"Non",IF(Annexes!Q5=1,"Non","Oui"))</f>
        <v>Non</v>
      </c>
      <c r="AC88" s="1"/>
      <c r="AD88" s="1"/>
      <c r="AE88" s="13"/>
    </row>
    <row r="89" spans="1:31" ht="15" customHeight="1">
      <c r="B89" s="5"/>
      <c r="C89" s="5"/>
      <c r="D89" s="5"/>
      <c r="T89" s="14"/>
      <c r="U89" s="379" t="s">
        <v>83</v>
      </c>
      <c r="V89" s="379"/>
      <c r="W89" s="379"/>
      <c r="X89" s="379"/>
      <c r="Y89" s="379"/>
      <c r="Z89" s="130"/>
      <c r="AA89" s="14"/>
      <c r="AB89" s="37">
        <f>IF('Mon Entreprise'!K8&gt;=Annexes!S20,IF(AB80&gt;=AB82,AB80,AB82),IF(AB80&gt;=AB81,AB80,AB81))</f>
        <v>0</v>
      </c>
      <c r="AC89" s="1"/>
      <c r="AD89" s="1"/>
      <c r="AE89" s="13"/>
    </row>
    <row r="90" spans="1:31" ht="16.5" thickBot="1">
      <c r="B90" s="225"/>
      <c r="C90" s="414" t="s">
        <v>30</v>
      </c>
      <c r="D90" s="414"/>
      <c r="E90" s="414"/>
      <c r="F90" s="414"/>
      <c r="G90" s="414"/>
      <c r="H90" s="414"/>
      <c r="I90" s="226"/>
      <c r="J90" s="226"/>
      <c r="K90" s="226"/>
      <c r="L90" s="226"/>
      <c r="M90" s="226"/>
      <c r="N90" s="226"/>
      <c r="O90" s="226"/>
      <c r="P90" s="1"/>
      <c r="T90" s="15"/>
      <c r="U90" s="10"/>
      <c r="V90" s="10"/>
      <c r="W90" s="10"/>
      <c r="X90" s="10"/>
      <c r="Y90" s="10"/>
      <c r="Z90" s="10"/>
      <c r="AA90" s="10"/>
      <c r="AB90" s="10"/>
      <c r="AC90" s="10"/>
      <c r="AD90" s="10"/>
      <c r="AE90" s="4"/>
    </row>
    <row r="91" spans="1:31" ht="15.75">
      <c r="B91" s="63"/>
      <c r="C91" s="24"/>
      <c r="D91" s="24"/>
      <c r="E91" s="24"/>
      <c r="F91" s="24"/>
      <c r="G91" s="24"/>
      <c r="H91" s="24"/>
      <c r="I91" s="1"/>
      <c r="J91" s="1"/>
      <c r="K91" s="1"/>
      <c r="L91" s="1"/>
      <c r="M91" s="1"/>
      <c r="N91" s="1"/>
      <c r="O91" s="1"/>
      <c r="P91" s="1"/>
      <c r="T91" s="14"/>
      <c r="U91" s="1"/>
      <c r="V91" s="1"/>
      <c r="W91" s="1"/>
      <c r="X91" s="1"/>
      <c r="Y91" s="1"/>
      <c r="Z91" s="1"/>
      <c r="AA91" s="1"/>
      <c r="AB91" s="1"/>
      <c r="AC91" s="1"/>
      <c r="AD91" s="1"/>
      <c r="AE91" s="13"/>
    </row>
    <row r="92" spans="1:31" ht="15.75">
      <c r="B92" s="103"/>
      <c r="C92" s="385" t="s">
        <v>100</v>
      </c>
      <c r="D92" s="385"/>
      <c r="E92" s="385"/>
      <c r="F92" s="385"/>
      <c r="G92" s="385"/>
      <c r="H92" s="385"/>
      <c r="I92" s="385"/>
      <c r="J92" s="385"/>
      <c r="K92" s="385"/>
      <c r="L92" s="385"/>
      <c r="M92" s="385"/>
      <c r="N92" s="385"/>
      <c r="O92" s="385"/>
      <c r="P92" s="1"/>
      <c r="Q92" s="1"/>
      <c r="T92" s="14"/>
      <c r="U92" s="1"/>
      <c r="V92" s="1"/>
      <c r="W92" s="1"/>
      <c r="X92" s="1"/>
      <c r="Y92" s="1"/>
      <c r="Z92" s="1"/>
      <c r="AA92" s="1"/>
      <c r="AB92" s="1"/>
      <c r="AC92" s="1"/>
      <c r="AD92" s="1"/>
      <c r="AE92" s="13"/>
    </row>
    <row r="93" spans="1:31" ht="15.75">
      <c r="B93" s="103"/>
      <c r="C93" s="281"/>
      <c r="D93" s="60" t="s">
        <v>26</v>
      </c>
      <c r="E93" s="281"/>
      <c r="F93" s="281"/>
      <c r="G93" s="281"/>
      <c r="H93" s="281"/>
      <c r="I93" s="281"/>
      <c r="J93" s="281"/>
      <c r="K93" s="281"/>
      <c r="L93" s="281"/>
      <c r="M93" s="281"/>
      <c r="N93" s="281"/>
      <c r="O93" s="281"/>
      <c r="P93" s="1"/>
      <c r="Q93" s="1"/>
      <c r="T93" s="14"/>
      <c r="U93" s="1"/>
      <c r="V93" s="1"/>
      <c r="W93" s="1"/>
      <c r="X93" s="1"/>
      <c r="Y93" s="1"/>
      <c r="Z93" s="1"/>
      <c r="AA93" s="1"/>
      <c r="AB93" s="1"/>
      <c r="AC93" s="1"/>
      <c r="AD93" s="1"/>
      <c r="AE93" s="13"/>
    </row>
    <row r="94" spans="1:31" ht="16.5" hidden="1" thickBot="1">
      <c r="B94" s="24"/>
      <c r="C94" s="24"/>
      <c r="D94" s="24"/>
      <c r="E94" s="24"/>
      <c r="F94" s="24"/>
      <c r="G94" s="24"/>
      <c r="H94" s="24"/>
      <c r="P94" s="1"/>
      <c r="Q94" s="1"/>
      <c r="R94" s="1"/>
      <c r="S94" s="1"/>
      <c r="T94" s="14"/>
      <c r="U94" s="1"/>
      <c r="V94" s="1"/>
      <c r="W94" s="1"/>
      <c r="X94" s="1"/>
      <c r="Y94" s="1"/>
      <c r="Z94" s="1"/>
      <c r="AA94" s="1"/>
      <c r="AB94" s="1"/>
      <c r="AC94" s="1"/>
      <c r="AD94" s="1"/>
      <c r="AE94" s="13"/>
    </row>
    <row r="95" spans="1:31" ht="15.75" hidden="1">
      <c r="B95" s="24"/>
      <c r="C95" s="24"/>
      <c r="D95" s="386" t="str">
        <f>IFERROR(IF(AND(AB123=0,AB124=0),"Vous ne pouvez pas bénéficier du fonds de solidarité pour le mois de Novembre 2020",IF(AB123&gt;AB124,"Votre entreprise peut bénéficier d'une aide de "&amp;AB123&amp;" €, au titre d'une perte d'au-moins 50 % de votre CA en Novembre 2020","Votre entreprise peut bénéficier d'une aide de "&amp;AB124&amp;"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5" s="387"/>
      <c r="F95" s="387"/>
      <c r="G95" s="387"/>
      <c r="H95" s="387"/>
      <c r="I95" s="387"/>
      <c r="J95" s="387"/>
      <c r="K95" s="387"/>
      <c r="L95" s="387"/>
      <c r="M95" s="387"/>
      <c r="N95" s="387"/>
      <c r="O95" s="388"/>
      <c r="P95" s="1"/>
      <c r="Q95" s="1"/>
      <c r="R95" s="1"/>
      <c r="S95" s="1"/>
      <c r="T95" s="25"/>
      <c r="U95" s="379" t="s">
        <v>20</v>
      </c>
      <c r="V95" s="379"/>
      <c r="W95" s="379"/>
      <c r="X95" s="1"/>
      <c r="Y95" s="282" t="s">
        <v>6</v>
      </c>
      <c r="Z95" s="282"/>
      <c r="AA95" s="282"/>
      <c r="AB95" s="282" t="s">
        <v>23</v>
      </c>
      <c r="AC95" s="282"/>
      <c r="AD95" s="282"/>
      <c r="AE95" s="26" t="s">
        <v>24</v>
      </c>
    </row>
    <row r="96" spans="1:31" ht="15.75" hidden="1" customHeight="1">
      <c r="B96" s="24"/>
      <c r="C96" s="24"/>
      <c r="D96" s="389"/>
      <c r="E96" s="390"/>
      <c r="F96" s="390"/>
      <c r="G96" s="390"/>
      <c r="H96" s="390"/>
      <c r="I96" s="390"/>
      <c r="J96" s="390"/>
      <c r="K96" s="390"/>
      <c r="L96" s="390"/>
      <c r="M96" s="390"/>
      <c r="N96" s="390"/>
      <c r="O96" s="391"/>
      <c r="P96" s="1"/>
      <c r="Q96" s="1"/>
      <c r="R96" s="1"/>
      <c r="S96" s="1"/>
      <c r="T96" s="25"/>
      <c r="U96" s="282"/>
      <c r="V96" s="282"/>
      <c r="W96" s="282"/>
      <c r="X96" s="1"/>
      <c r="Y96" s="282"/>
      <c r="Z96" s="282"/>
      <c r="AA96" s="282"/>
      <c r="AB96" s="282"/>
      <c r="AC96" s="282"/>
      <c r="AD96" s="282"/>
      <c r="AE96" s="26"/>
    </row>
    <row r="97" spans="2:32" ht="15.75" hidden="1">
      <c r="B97" s="24"/>
      <c r="C97" s="24"/>
      <c r="D97" s="389"/>
      <c r="E97" s="390"/>
      <c r="F97" s="390"/>
      <c r="G97" s="390"/>
      <c r="H97" s="390"/>
      <c r="I97" s="390"/>
      <c r="J97" s="390"/>
      <c r="K97" s="390"/>
      <c r="L97" s="390"/>
      <c r="M97" s="390"/>
      <c r="N97" s="390"/>
      <c r="O97" s="391"/>
      <c r="P97" s="1"/>
      <c r="Q97" s="1"/>
      <c r="R97" s="1"/>
      <c r="S97" s="1"/>
      <c r="T97" s="378" t="s">
        <v>102</v>
      </c>
      <c r="U97" s="379"/>
      <c r="V97" s="379"/>
      <c r="W97" s="379"/>
      <c r="X97" s="1"/>
      <c r="Y97" s="7">
        <f>'Mon Entreprise'!I79</f>
        <v>0</v>
      </c>
      <c r="Z97" s="133"/>
      <c r="AA97" s="21"/>
      <c r="AB97" s="7">
        <f>IF('Mon Entreprise'!I79-'Mon Entreprise'!M79&lt;0,0,'Mon Entreprise'!I79-'Mon Entreprise'!M79)</f>
        <v>0</v>
      </c>
      <c r="AC97" s="13"/>
      <c r="AD97" s="1"/>
      <c r="AE97" s="27">
        <f>IFERROR(1-'Mon Entreprise'!M79/'Mon Entreprise'!I79,0)</f>
        <v>0</v>
      </c>
    </row>
    <row r="98" spans="2:32" ht="15.75" hidden="1">
      <c r="B98" s="24"/>
      <c r="C98" s="24"/>
      <c r="D98" s="389"/>
      <c r="E98" s="390"/>
      <c r="F98" s="390"/>
      <c r="G98" s="390"/>
      <c r="H98" s="390"/>
      <c r="I98" s="390"/>
      <c r="J98" s="390"/>
      <c r="K98" s="390"/>
      <c r="L98" s="390"/>
      <c r="M98" s="390"/>
      <c r="N98" s="390"/>
      <c r="O98" s="391"/>
      <c r="P98" s="1"/>
      <c r="Q98" s="109"/>
      <c r="R98" s="1"/>
      <c r="S98" s="1"/>
      <c r="T98" s="378" t="s">
        <v>25</v>
      </c>
      <c r="U98" s="379"/>
      <c r="V98" s="379"/>
      <c r="W98" s="379"/>
      <c r="X98" s="1"/>
      <c r="Y98" s="7">
        <f>'Mon Entreprise'!I63</f>
        <v>0</v>
      </c>
      <c r="Z98" s="133"/>
      <c r="AA98" s="21"/>
      <c r="AB98" s="7">
        <f>IF('Mon Entreprise'!I63-'Mon Entreprise'!M79&lt;0,0,'Mon Entreprise'!I63-'Mon Entreprise'!M79)</f>
        <v>0</v>
      </c>
      <c r="AC98" s="36"/>
      <c r="AD98" s="1"/>
      <c r="AE98" s="27">
        <f>IFERROR(1-'Mon Entreprise'!M79/'Mon Entreprise'!I63,0)</f>
        <v>0</v>
      </c>
    </row>
    <row r="99" spans="2:32" ht="16.5" hidden="1" thickBot="1">
      <c r="B99" s="24"/>
      <c r="C99" s="24"/>
      <c r="D99" s="392"/>
      <c r="E99" s="393"/>
      <c r="F99" s="393"/>
      <c r="G99" s="393"/>
      <c r="H99" s="393"/>
      <c r="I99" s="393"/>
      <c r="J99" s="393"/>
      <c r="K99" s="393"/>
      <c r="L99" s="393"/>
      <c r="M99" s="393"/>
      <c r="N99" s="393"/>
      <c r="O99" s="394"/>
      <c r="P99" s="1"/>
      <c r="Q99" s="1"/>
      <c r="R99" s="109"/>
      <c r="S99" s="109"/>
      <c r="T99" s="378" t="s">
        <v>22</v>
      </c>
      <c r="U99" s="379"/>
      <c r="V99" s="379"/>
      <c r="W99" s="379"/>
      <c r="X99" s="1"/>
      <c r="Y99" s="18" t="str">
        <f>IF('Mon Entreprise'!I112="","NC",'Mon Entreprise'!I112)</f>
        <v>NC</v>
      </c>
      <c r="Z99" s="134"/>
      <c r="AA99" s="21"/>
      <c r="AB99" s="37" t="str">
        <f>IFERROR(IF('Mon Entreprise'!I112-'Mon Entreprise'!M79&lt;0,0,'Mon Entreprise'!I112-'Mon Entreprise'!M79),"NC")</f>
        <v>NC</v>
      </c>
      <c r="AC99" s="135"/>
      <c r="AD99" s="1"/>
      <c r="AE99" s="28" t="str">
        <f>IFERROR(1-'Mon Entreprise'!M79/'Mon Entreprise'!I112,"NC")</f>
        <v>NC</v>
      </c>
      <c r="AF99" s="99"/>
    </row>
    <row r="100" spans="2:32">
      <c r="B100" s="8"/>
      <c r="C100" s="79"/>
      <c r="D100" s="79"/>
      <c r="E100" s="78"/>
      <c r="F100" s="78"/>
      <c r="G100" s="78"/>
      <c r="H100" s="78"/>
      <c r="I100" s="78"/>
      <c r="J100" s="78"/>
      <c r="K100" s="78"/>
      <c r="L100" s="78"/>
      <c r="M100" s="78"/>
      <c r="N100" s="78"/>
      <c r="O100" s="78"/>
      <c r="Q100" s="1"/>
      <c r="R100" s="1"/>
      <c r="S100" s="1"/>
      <c r="T100" s="275"/>
      <c r="U100" s="276"/>
      <c r="V100" s="276"/>
      <c r="W100" s="276"/>
      <c r="X100" s="1"/>
      <c r="Y100" s="18"/>
      <c r="Z100" s="23"/>
      <c r="AA100" s="21"/>
      <c r="AB100" s="37"/>
      <c r="AC100" s="276"/>
      <c r="AD100" s="1"/>
      <c r="AE100" s="28"/>
    </row>
    <row r="101" spans="2:32">
      <c r="Q101" s="1"/>
      <c r="R101" s="1"/>
      <c r="S101" s="1"/>
      <c r="T101" s="14"/>
      <c r="U101" s="1"/>
      <c r="V101" s="1"/>
      <c r="W101" s="1"/>
      <c r="X101" s="1"/>
      <c r="Y101" s="1"/>
      <c r="Z101" s="1"/>
      <c r="AA101" s="1"/>
      <c r="AB101" s="1"/>
      <c r="AC101" s="1"/>
      <c r="AD101" s="1"/>
      <c r="AE101" s="13"/>
    </row>
    <row r="102" spans="2:32">
      <c r="C102" s="60" t="s">
        <v>62</v>
      </c>
      <c r="D102" s="60"/>
      <c r="E102" s="60"/>
      <c r="F102" s="60"/>
      <c r="G102" s="60"/>
      <c r="H102" s="60"/>
      <c r="I102" s="60"/>
      <c r="J102" s="40"/>
      <c r="K102" s="40"/>
      <c r="L102" s="40"/>
      <c r="M102" s="40"/>
      <c r="N102" s="40"/>
      <c r="O102" s="40"/>
      <c r="R102" s="1"/>
      <c r="S102" s="1"/>
      <c r="T102" s="14"/>
      <c r="U102" s="377" t="s">
        <v>74</v>
      </c>
      <c r="V102" s="377"/>
      <c r="W102" s="377"/>
      <c r="X102" s="377"/>
      <c r="Y102" s="377"/>
      <c r="Z102" s="1"/>
      <c r="AA102" s="14"/>
      <c r="AB102" s="276" t="str">
        <f>IF('Mon Entreprise'!K8&lt;=Annexes!U24,"Oui","Non")</f>
        <v>Oui</v>
      </c>
      <c r="AC102" s="1"/>
      <c r="AD102" s="1"/>
      <c r="AE102" s="13"/>
    </row>
    <row r="103" spans="2:32" ht="15" customHeight="1">
      <c r="C103" s="60"/>
      <c r="D103" s="60" t="str">
        <f>IFERROR(IF('Mon Entreprise'!K8&gt;=Annexes!S20,IF(AB97&gt;=AB99,"Le CA de référence est celui de Novembre 2019, soit une perte de "&amp;ROUND(AB97,0)&amp;" €"&amp;" ==&gt; "&amp;ROUND(AE97*100,0)&amp;" %","Le CA de référence est celui de la création, soit une perte de "&amp;ROUND(AB99,0)&amp;" €"&amp;" ==&gt; "&amp;ROUND(AE99*100,0)&amp;" %"),IF(AB97&gt;=AB98,"Le CA de référence est celui de Novembre 2019, soit une perte de "&amp;ROUND(AB97,0)&amp;" €"&amp;" ==&gt; "&amp;ROUND(AE97*100,0)&amp;" %","Le CA de référence est celui de l'exercice 2019, soit une perte de "&amp;ROUND(AB98,0)&amp;" €"&amp;" ==&gt; "&amp;ROUND(AE98*100,0)&amp;" %")),"")</f>
        <v>Le CA de référence est celui de Novembre 2019, soit une perte de 0 € ==&gt; 0 %</v>
      </c>
      <c r="E103" s="60"/>
      <c r="F103" s="60"/>
      <c r="G103" s="60"/>
      <c r="H103" s="60"/>
      <c r="I103" s="60"/>
      <c r="J103" s="40"/>
      <c r="K103" s="40"/>
      <c r="L103" s="40"/>
      <c r="M103" s="40"/>
      <c r="N103" s="40"/>
      <c r="O103" s="40"/>
      <c r="T103" s="14"/>
      <c r="U103" s="377" t="s">
        <v>87</v>
      </c>
      <c r="V103" s="377"/>
      <c r="W103" s="377"/>
      <c r="X103" s="377"/>
      <c r="Y103" s="377"/>
      <c r="Z103" s="1"/>
      <c r="AA103" s="14"/>
      <c r="AB103" s="276">
        <f>IF('Mon Entreprise'!K8&gt;=Annexes!S20,IF(AB97&gt;=AB99,AB97,AB99),IF(AB97&gt;=AB98,AB97,AB98))</f>
        <v>0</v>
      </c>
      <c r="AC103" s="1"/>
      <c r="AD103" s="1"/>
      <c r="AE103" s="13"/>
    </row>
    <row r="104" spans="2:32" ht="15" customHeight="1" thickBot="1">
      <c r="T104" s="14"/>
      <c r="U104" s="377" t="s">
        <v>88</v>
      </c>
      <c r="V104" s="377"/>
      <c r="W104" s="377"/>
      <c r="X104" s="377"/>
      <c r="Y104" s="377"/>
      <c r="Z104" s="1"/>
      <c r="AA104" s="14"/>
      <c r="AB104" s="19">
        <f>IF('Mon Entreprise'!K8&gt;=Annexes!S20,IF(AB97&gt;=AB99,AE97,AE99),IF(AB97&gt;=AB98,AE97,AE98))</f>
        <v>0</v>
      </c>
      <c r="AC104" s="1"/>
      <c r="AD104" s="1"/>
      <c r="AE104" s="13"/>
    </row>
    <row r="105" spans="2:32" ht="15" customHeight="1">
      <c r="D105" s="400" t="str">
        <f>IFERROR(IF(AB102="Non","Vous avez débuté votre activité après le 30 Septembre 2020, vous ne pouvez donc pas bénéficier de cette aide",IF(AB104&gt;=0.5,IF(AB103&gt;Annexes!S5,"Dans votre cas, l'aide est Plafonnée, à "&amp;Annexes!S5&amp;" € pour le mois de novembre","Vous pouvez bénéficier, au titre de cette aide, d'un montant de "&amp;ROUND(AB103,0)&amp;" € pour le mois de novembre"),"L'entreprise n'a pas une perte d'au moins 50 % en novembre 2020")),"Vous n'avez pas indiqué de chiffre d'affaires de référence")</f>
        <v>L'entreprise n'a pas une perte d'au moins 50 % en novembre 2020</v>
      </c>
      <c r="E105" s="401"/>
      <c r="F105" s="401"/>
      <c r="G105" s="401"/>
      <c r="H105" s="401"/>
      <c r="I105" s="401"/>
      <c r="J105" s="401"/>
      <c r="K105" s="401"/>
      <c r="L105" s="401"/>
      <c r="M105" s="401"/>
      <c r="N105" s="401"/>
      <c r="O105" s="402"/>
      <c r="T105" s="14"/>
      <c r="U105" s="280"/>
      <c r="V105" s="280"/>
      <c r="W105" s="280"/>
      <c r="X105" s="280"/>
      <c r="Y105" s="280"/>
      <c r="Z105" s="1"/>
      <c r="AA105" s="1"/>
      <c r="AB105" s="19"/>
      <c r="AC105" s="1"/>
      <c r="AD105" s="1"/>
      <c r="AE105" s="13"/>
    </row>
    <row r="106" spans="2:32" ht="15" customHeight="1">
      <c r="D106" s="403"/>
      <c r="E106" s="404"/>
      <c r="F106" s="404"/>
      <c r="G106" s="404"/>
      <c r="H106" s="404"/>
      <c r="I106" s="404"/>
      <c r="J106" s="404"/>
      <c r="K106" s="404"/>
      <c r="L106" s="404"/>
      <c r="M106" s="404"/>
      <c r="N106" s="404"/>
      <c r="O106" s="405"/>
      <c r="T106" s="14"/>
      <c r="U106" s="280"/>
      <c r="V106" s="280"/>
      <c r="W106" s="280"/>
      <c r="X106" s="280"/>
      <c r="Y106" s="280"/>
      <c r="Z106" s="1"/>
      <c r="AA106" s="1"/>
      <c r="AB106" s="19"/>
      <c r="AC106" s="1"/>
      <c r="AD106" s="1"/>
      <c r="AE106" s="13"/>
    </row>
    <row r="107" spans="2:32" ht="15" customHeight="1">
      <c r="D107" s="403"/>
      <c r="E107" s="404"/>
      <c r="F107" s="404"/>
      <c r="G107" s="404"/>
      <c r="H107" s="404"/>
      <c r="I107" s="404"/>
      <c r="J107" s="404"/>
      <c r="K107" s="404"/>
      <c r="L107" s="404"/>
      <c r="M107" s="404"/>
      <c r="N107" s="404"/>
      <c r="O107" s="405"/>
      <c r="T107" s="14"/>
      <c r="U107" s="280"/>
      <c r="V107" s="280"/>
      <c r="W107" s="280"/>
      <c r="X107" s="280"/>
      <c r="Y107" s="280"/>
      <c r="Z107" s="1"/>
      <c r="AA107" s="1"/>
      <c r="AB107" s="19"/>
      <c r="AC107" s="1"/>
      <c r="AD107" s="1"/>
      <c r="AE107" s="13"/>
    </row>
    <row r="108" spans="2:32" ht="15" customHeight="1" thickBot="1">
      <c r="D108" s="406"/>
      <c r="E108" s="407"/>
      <c r="F108" s="407"/>
      <c r="G108" s="407"/>
      <c r="H108" s="407"/>
      <c r="I108" s="407"/>
      <c r="J108" s="407"/>
      <c r="K108" s="407"/>
      <c r="L108" s="407"/>
      <c r="M108" s="407"/>
      <c r="N108" s="407"/>
      <c r="O108" s="408"/>
      <c r="T108" s="14"/>
      <c r="U108" s="379"/>
      <c r="V108" s="379"/>
      <c r="W108" s="379"/>
      <c r="X108" s="379"/>
      <c r="Y108" s="379"/>
      <c r="Z108" s="1"/>
      <c r="AA108" s="1"/>
      <c r="AB108" s="276"/>
      <c r="AC108" s="1"/>
      <c r="AD108" s="1"/>
      <c r="AE108" s="13"/>
    </row>
    <row r="109" spans="2:32" ht="15.75" customHeight="1">
      <c r="C109" s="78"/>
      <c r="D109" s="78"/>
      <c r="E109" s="78"/>
      <c r="F109" s="78"/>
      <c r="G109" s="78"/>
      <c r="H109" s="78"/>
      <c r="I109" s="78"/>
      <c r="J109" s="78"/>
      <c r="K109" s="78"/>
      <c r="L109" s="78"/>
      <c r="M109" s="78"/>
      <c r="N109" s="78"/>
      <c r="O109" s="78"/>
      <c r="T109" s="14"/>
      <c r="U109" s="1"/>
      <c r="V109" s="1"/>
      <c r="W109" s="1"/>
      <c r="X109" s="1"/>
      <c r="Y109" s="1"/>
      <c r="Z109" s="1"/>
      <c r="AA109" s="1"/>
      <c r="AB109" s="276"/>
      <c r="AC109" s="1"/>
      <c r="AD109" s="1"/>
      <c r="AE109" s="13"/>
    </row>
    <row r="110" spans="2:32" ht="15" customHeight="1">
      <c r="T110" s="14"/>
      <c r="U110" s="1"/>
      <c r="V110" s="1"/>
      <c r="W110" s="1"/>
      <c r="X110" s="1"/>
      <c r="Y110" s="1"/>
      <c r="Z110" s="1"/>
      <c r="AA110" s="1"/>
      <c r="AB110" s="276"/>
      <c r="AC110" s="1"/>
      <c r="AD110" s="1"/>
      <c r="AE110" s="13"/>
    </row>
    <row r="111" spans="2:32" ht="15" customHeight="1">
      <c r="C111" s="415" t="s">
        <v>105</v>
      </c>
      <c r="D111" s="415"/>
      <c r="E111" s="415"/>
      <c r="F111" s="415"/>
      <c r="G111" s="415"/>
      <c r="H111" s="415"/>
      <c r="I111" s="415"/>
      <c r="J111" s="415"/>
      <c r="K111" s="415"/>
      <c r="L111" s="415"/>
      <c r="M111" s="415"/>
      <c r="N111" s="415"/>
      <c r="O111" s="415"/>
      <c r="P111" s="40"/>
      <c r="T111" s="14"/>
      <c r="U111" s="1"/>
      <c r="V111" s="1"/>
      <c r="W111" s="1"/>
      <c r="X111" s="1"/>
      <c r="Y111" s="1"/>
      <c r="Z111" s="1"/>
      <c r="AA111" s="1"/>
      <c r="AB111" s="276"/>
      <c r="AC111" s="1"/>
      <c r="AD111" s="1"/>
      <c r="AE111" s="13"/>
    </row>
    <row r="112" spans="2:32" ht="15.75" customHeight="1">
      <c r="C112" s="415"/>
      <c r="D112" s="415"/>
      <c r="E112" s="415"/>
      <c r="F112" s="415"/>
      <c r="G112" s="415"/>
      <c r="H112" s="415"/>
      <c r="I112" s="415"/>
      <c r="J112" s="415"/>
      <c r="K112" s="415"/>
      <c r="L112" s="415"/>
      <c r="M112" s="415"/>
      <c r="N112" s="415"/>
      <c r="O112" s="415"/>
      <c r="P112" s="40"/>
      <c r="Q112" s="40"/>
      <c r="T112" s="416" t="s">
        <v>4</v>
      </c>
      <c r="U112" s="397"/>
      <c r="V112" s="397"/>
      <c r="W112" s="397"/>
      <c r="X112" s="397"/>
      <c r="Y112" s="397"/>
      <c r="Z112" s="1"/>
      <c r="AA112" s="14"/>
      <c r="AB112" s="132">
        <f>IFERROR(IF('Mon Entreprise'!K8&lt;Annexes!S17,IF(IFERROR(1-'Mon Entreprise'!M83/'Mon Entreprise'!I83,0)&gt;=IFERROR(1-'Mon Entreprise'!M83/('Mon Entreprise'!I63*2),0),1-'Mon Entreprise'!M83/'Mon Entreprise'!I83,1-'Mon Entreprise'!M83/('Mon Entreprise'!I63*2)),1-'Mon Entreprise'!M83/'Mon Entreprise'!I126),0)</f>
        <v>0</v>
      </c>
      <c r="AC112" s="1"/>
      <c r="AD112" s="1"/>
      <c r="AE112" s="13"/>
    </row>
    <row r="113" spans="2:31" ht="15" customHeight="1">
      <c r="C113" s="60"/>
      <c r="E113" s="415" t="str">
        <f>IF('Mon Entreprise'!K8&gt;Annexes!U24,"",IF(OR(AB113="OUI",AND(AB114="OUI",AB112&gt;=Annexes!T5),AB115=TRUE),"",IF(AND(AB114="OUI",AB112&lt;Annexes!T5),"L'entreprise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3" s="415"/>
      <c r="G113" s="415"/>
      <c r="H113" s="415"/>
      <c r="I113" s="415"/>
      <c r="J113" s="415"/>
      <c r="K113" s="415"/>
      <c r="L113" s="415"/>
      <c r="M113" s="415"/>
      <c r="N113" s="415"/>
      <c r="O113" s="415"/>
      <c r="P113" s="40"/>
      <c r="Q113" s="40"/>
      <c r="T113" s="14"/>
      <c r="U113" s="397" t="s">
        <v>8</v>
      </c>
      <c r="V113" s="397"/>
      <c r="W113" s="397"/>
      <c r="X113" s="397"/>
      <c r="Y113" s="397"/>
      <c r="Z113" s="1"/>
      <c r="AA113" s="14"/>
      <c r="AB113" s="19" t="str">
        <f>IF((AND(Annexes!F5&gt;1,Annexes!F5&lt;=Annexes!H6)),"OUI","NON")</f>
        <v>NON</v>
      </c>
      <c r="AC113" s="1"/>
      <c r="AD113" s="1"/>
      <c r="AE113" s="13"/>
    </row>
    <row r="114" spans="2:31" ht="15" customHeight="1">
      <c r="C114" s="60"/>
      <c r="D114" s="131"/>
      <c r="E114" s="415"/>
      <c r="F114" s="415"/>
      <c r="G114" s="415"/>
      <c r="H114" s="415"/>
      <c r="I114" s="415"/>
      <c r="J114" s="415"/>
      <c r="K114" s="415"/>
      <c r="L114" s="415"/>
      <c r="M114" s="415"/>
      <c r="N114" s="415"/>
      <c r="O114" s="415"/>
      <c r="P114" s="40"/>
      <c r="Q114" s="40"/>
      <c r="T114" s="14"/>
      <c r="U114" s="379" t="s">
        <v>9</v>
      </c>
      <c r="V114" s="379"/>
      <c r="W114" s="379"/>
      <c r="X114" s="379"/>
      <c r="Y114" s="379"/>
      <c r="Z114" s="1"/>
      <c r="AA114" s="14"/>
      <c r="AB114" s="19" t="str">
        <f>IF((AND(Annexes!F7&gt;1,Annexes!F7&lt;=Annexes!H8)),"OUI","NON")</f>
        <v>NON</v>
      </c>
      <c r="AC114" s="1"/>
      <c r="AD114" s="1"/>
      <c r="AE114" s="13"/>
    </row>
    <row r="115" spans="2:31" ht="15" customHeight="1">
      <c r="C115" s="60"/>
      <c r="D115" s="60" t="str">
        <f>IFERROR(IF('Mon Entreprise'!K8&gt;=Annexes!S20,IF(AB97&gt;=AB99,"- Le CA de référence est celui de Novembre 2019, soit une perte de "&amp;ROUND(AB97,0)&amp;" €"&amp;" ==&gt; "&amp;ROUND(AE97*100,0)&amp;" %","- Le CA de référence est celui de la création, soit une perte de "&amp;ROUND(AB99,0)&amp;" €"&amp;" ==&gt; "&amp;ROUND(AE99*100,0)&amp;" %"),IF(AB97&gt;=AB98,"- Le CA de référence est celui de Novembre 2019, soit une perte de "&amp;ROUND(AB97,0)&amp;" €"&amp;" ==&gt; "&amp;ROUND(AE97*100,0)&amp;" %","- Le CA de référence est celui de l'exercice 2019, soit une perte de "&amp;ROUND(AB98,0)&amp;" €"&amp;" ==&gt; "&amp;ROUND(AE98*100,0)&amp;" %")),"")</f>
        <v>- Le CA de référence est celui de Novembre 2019, soit une perte de 0 € ==&gt; 0 %</v>
      </c>
      <c r="E115" s="60"/>
      <c r="F115" s="60"/>
      <c r="G115" s="60"/>
      <c r="H115" s="60"/>
      <c r="I115" s="60"/>
      <c r="J115" s="60"/>
      <c r="K115" s="60"/>
      <c r="L115" s="60"/>
      <c r="M115" s="60"/>
      <c r="N115" s="60"/>
      <c r="O115" s="60"/>
      <c r="P115" s="40"/>
      <c r="Q115" s="40"/>
      <c r="R115" s="40"/>
      <c r="T115" s="14"/>
      <c r="U115" s="379" t="s">
        <v>12</v>
      </c>
      <c r="V115" s="379"/>
      <c r="W115" s="379"/>
      <c r="X115" s="379"/>
      <c r="Y115" s="379"/>
      <c r="Z115" s="1"/>
      <c r="AA115" s="14"/>
      <c r="AB115" s="19" t="b">
        <f>Annexes!M7</f>
        <v>0</v>
      </c>
      <c r="AC115" s="1"/>
      <c r="AD115" s="1"/>
      <c r="AE115" s="13"/>
    </row>
    <row r="116" spans="2:31" ht="15" customHeight="1">
      <c r="C116" s="40"/>
      <c r="D116" s="60" t="str">
        <f>IF(OR(AB113="OUI",AB115=TRUE),"- Sans ticket modérateur",IF(AND(AB114="OUI",AB112&gt;=0.8),"- La Perte de référence est plafonnée à 80 %, soit "&amp;ROUND(AB121,0)&amp;" €","- Sans ticket modérateur"))</f>
        <v>- Sans ticket modérateur</v>
      </c>
      <c r="E116" s="40"/>
      <c r="F116" s="40"/>
      <c r="G116" s="40"/>
      <c r="H116" s="40"/>
      <c r="I116" s="40"/>
      <c r="J116" s="40"/>
      <c r="K116" s="40"/>
      <c r="M116" s="40"/>
      <c r="N116" s="40"/>
      <c r="O116" s="40"/>
      <c r="P116" s="40"/>
      <c r="Q116" s="40"/>
      <c r="R116" s="40"/>
      <c r="T116" s="14"/>
      <c r="U116" s="377" t="s">
        <v>74</v>
      </c>
      <c r="V116" s="377"/>
      <c r="W116" s="377"/>
      <c r="X116" s="377"/>
      <c r="Y116" s="377"/>
      <c r="Z116" s="1"/>
      <c r="AA116" s="14"/>
      <c r="AB116" s="276" t="str">
        <f>IF('Mon Entreprise'!K8&lt;=Annexes!U24,"Oui","Non")</f>
        <v>Oui</v>
      </c>
      <c r="AC116" s="1"/>
      <c r="AD116" s="1"/>
      <c r="AE116" s="13"/>
    </row>
    <row r="117" spans="2:31" ht="15" customHeight="1" thickBot="1">
      <c r="Q117" s="40"/>
      <c r="R117" s="40"/>
      <c r="T117" s="14"/>
      <c r="U117" s="377" t="s">
        <v>87</v>
      </c>
      <c r="V117" s="377"/>
      <c r="W117" s="377"/>
      <c r="X117" s="377"/>
      <c r="Y117" s="377"/>
      <c r="Z117" s="1"/>
      <c r="AA117" s="14"/>
      <c r="AB117" s="276">
        <f>IF('Mon Entreprise'!K8&gt;=Annexes!S20,IF(AB97&gt;=AB99,AB97,AB99),IF(AB97&gt;=AB98,AB97,AB98))</f>
        <v>0</v>
      </c>
      <c r="AC117" s="1"/>
      <c r="AD117" s="1"/>
      <c r="AE117" s="13"/>
    </row>
    <row r="118" spans="2:31" ht="15" customHeight="1">
      <c r="D118" s="400" t="str">
        <f>IFERROR(IF('Mon Entreprise'!K8&gt;Annexes!U24,"Vous avez débuté votre activité après le 30 Septembre 2020, vous ne pouvez donc pas bénéficier de cette aide",IF(AB115=TRUE,IF(AB121&gt;Annexes!S6,"Dans votre cas, l'aide est Plafonnée, à "&amp;Annexes!S6&amp;" € pour le mois de Novembre","Vous pouvez bénéficier, au titre de cette aide, d'un montant de "&amp;ROUND(AB121,0)&amp;" € pour le mois de novembre"),IF(AB118&gt;=0.5,IF(OR(AB113="OUI",AND(AB114="OUI",AB112&gt;=Annexes!T5)),IF(AB121&gt;Annexes!S6,"Dans votre cas, l'aide est Plafonnée, à "&amp;Annexes!S6&amp;" € pour le mois de Novembre","Vous pouvez bénéficier, au titre de cette aide, d'un montant de "&amp;ROUND(AB121,0)&amp;" € pour le mois de novembre"),IF(AND(AB114="OUI",AB112&lt;Annexes!T5),"L'entreprise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8" s="401"/>
      <c r="F118" s="401"/>
      <c r="G118" s="401"/>
      <c r="H118" s="401"/>
      <c r="I118" s="401"/>
      <c r="J118" s="401"/>
      <c r="K118" s="401"/>
      <c r="L118" s="401"/>
      <c r="M118" s="401"/>
      <c r="N118" s="401"/>
      <c r="O118" s="402"/>
      <c r="Q118" s="40"/>
      <c r="R118" s="40"/>
      <c r="T118" s="14"/>
      <c r="U118" s="377" t="s">
        <v>88</v>
      </c>
      <c r="V118" s="377"/>
      <c r="W118" s="377"/>
      <c r="X118" s="377"/>
      <c r="Y118" s="377"/>
      <c r="Z118" s="1"/>
      <c r="AA118" s="14"/>
      <c r="AB118" s="19">
        <f>IF('Mon Entreprise'!K8&gt;=Annexes!S20,IF(AB97&gt;=AB99,AE97,AE99),IF(AB97&gt;=AB98,AE97,AE98))</f>
        <v>0</v>
      </c>
      <c r="AC118" s="1"/>
      <c r="AD118" s="1"/>
      <c r="AE118" s="13"/>
    </row>
    <row r="119" spans="2:31" ht="15" customHeight="1">
      <c r="D119" s="403"/>
      <c r="E119" s="404"/>
      <c r="F119" s="404"/>
      <c r="G119" s="404"/>
      <c r="H119" s="404"/>
      <c r="I119" s="404"/>
      <c r="J119" s="404"/>
      <c r="K119" s="404"/>
      <c r="L119" s="404"/>
      <c r="M119" s="404"/>
      <c r="N119" s="404"/>
      <c r="O119" s="405"/>
      <c r="Q119" s="40"/>
      <c r="R119" s="40"/>
      <c r="T119" s="14"/>
      <c r="U119" s="379" t="s">
        <v>76</v>
      </c>
      <c r="V119" s="379"/>
      <c r="W119" s="379"/>
      <c r="X119" s="379"/>
      <c r="Y119" s="379"/>
      <c r="Z119" s="1"/>
      <c r="AA119" s="14"/>
      <c r="AB119" s="55">
        <f>IF(OR(AB113="OUI",AB115=TRUE),1,IF(AND(AB114="OUI",AB112&gt;=0.8),0.8,1))</f>
        <v>1</v>
      </c>
      <c r="AC119" s="1"/>
      <c r="AD119" s="1"/>
      <c r="AE119" s="13"/>
    </row>
    <row r="120" spans="2:31" ht="15" customHeight="1">
      <c r="D120" s="403"/>
      <c r="E120" s="404"/>
      <c r="F120" s="404"/>
      <c r="G120" s="404"/>
      <c r="H120" s="404"/>
      <c r="I120" s="404"/>
      <c r="J120" s="404"/>
      <c r="K120" s="404"/>
      <c r="L120" s="404"/>
      <c r="M120" s="404"/>
      <c r="N120" s="404"/>
      <c r="O120" s="405"/>
      <c r="Q120" s="40"/>
      <c r="R120" s="40"/>
      <c r="T120" s="14"/>
      <c r="U120" s="379" t="s">
        <v>83</v>
      </c>
      <c r="V120" s="379"/>
      <c r="W120" s="379"/>
      <c r="X120" s="379"/>
      <c r="Y120" s="379"/>
      <c r="Z120" s="1"/>
      <c r="AA120" s="14"/>
      <c r="AB120" s="278">
        <f>IF('Mon Entreprise'!K8&gt;=Annexes!S20,IF(AB97&gt;=AB99,Y97,Y99),IF(AB97&gt;=AB98,Y97,Y98))</f>
        <v>0</v>
      </c>
      <c r="AC120" s="1"/>
      <c r="AD120" s="1"/>
      <c r="AE120" s="13"/>
    </row>
    <row r="121" spans="2:31" ht="15" customHeight="1" thickBot="1">
      <c r="D121" s="406"/>
      <c r="E121" s="407"/>
      <c r="F121" s="407"/>
      <c r="G121" s="407"/>
      <c r="H121" s="407"/>
      <c r="I121" s="407"/>
      <c r="J121" s="407"/>
      <c r="K121" s="407"/>
      <c r="L121" s="407"/>
      <c r="M121" s="407"/>
      <c r="N121" s="407"/>
      <c r="O121" s="408"/>
      <c r="R121" s="40"/>
      <c r="T121" s="14"/>
      <c r="U121" s="379" t="s">
        <v>109</v>
      </c>
      <c r="V121" s="379"/>
      <c r="W121" s="379"/>
      <c r="X121" s="379"/>
      <c r="Y121" s="379"/>
      <c r="Z121" s="1"/>
      <c r="AA121" s="14"/>
      <c r="AB121" s="276">
        <f>IF(AB119=1,AB117,IF(AB117*AB119&gt;1500,IF(AB117&gt;1500,AB117*AB119,"Impossible"),IF(AB117&lt;1500,AB117,1500)))</f>
        <v>0</v>
      </c>
      <c r="AC121" s="1"/>
      <c r="AD121" s="1"/>
      <c r="AE121" s="13"/>
    </row>
    <row r="122" spans="2:31" ht="37.5" customHeight="1">
      <c r="D122" s="380"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22" s="380"/>
      <c r="F122" s="380"/>
      <c r="G122" s="380"/>
      <c r="H122" s="380"/>
      <c r="I122" s="380"/>
      <c r="J122" s="380"/>
      <c r="K122" s="380"/>
      <c r="L122" s="380"/>
      <c r="M122" s="380"/>
      <c r="N122" s="380"/>
      <c r="O122" s="380"/>
      <c r="R122" s="40"/>
      <c r="T122" s="14"/>
      <c r="U122" s="276"/>
      <c r="V122" s="276"/>
      <c r="W122" s="276"/>
      <c r="X122" s="276"/>
      <c r="Y122" s="276"/>
      <c r="Z122" s="1"/>
      <c r="AA122" s="1"/>
      <c r="AB122" s="276"/>
      <c r="AC122" s="1"/>
      <c r="AD122" s="1"/>
      <c r="AE122" s="13"/>
    </row>
    <row r="123" spans="2:31" ht="15" hidden="1" customHeight="1">
      <c r="D123" s="274"/>
      <c r="E123" s="277"/>
      <c r="F123" s="277"/>
      <c r="G123" s="277"/>
      <c r="H123" s="277"/>
      <c r="I123" s="277"/>
      <c r="J123" s="277"/>
      <c r="K123" s="277"/>
      <c r="L123" s="277"/>
      <c r="M123" s="277"/>
      <c r="N123" s="277"/>
      <c r="O123" s="277"/>
      <c r="R123" s="40"/>
      <c r="T123" s="14"/>
      <c r="U123" s="379" t="s">
        <v>85</v>
      </c>
      <c r="V123" s="379"/>
      <c r="W123" s="379"/>
      <c r="X123" s="379"/>
      <c r="Y123" s="379"/>
      <c r="Z123" s="1"/>
      <c r="AA123" s="14"/>
      <c r="AB123" s="276">
        <f>IF(AB102="Non",0,IF(AB104&gt;=0.5,IF(AB103&gt;Annexes!S5,Annexes!S5,ROUND(AB103,0)),0))</f>
        <v>0</v>
      </c>
      <c r="AC123" s="1"/>
      <c r="AD123" s="1"/>
      <c r="AE123" s="13"/>
    </row>
    <row r="124" spans="2:31" ht="15" hidden="1" customHeight="1">
      <c r="R124" s="40"/>
      <c r="T124" s="14"/>
      <c r="U124" s="379" t="s">
        <v>84</v>
      </c>
      <c r="V124" s="379"/>
      <c r="W124" s="379"/>
      <c r="X124" s="379"/>
      <c r="Y124" s="379"/>
      <c r="Z124" s="1"/>
      <c r="AA124" s="14"/>
      <c r="AB124" s="276">
        <f>IFERROR(IF('Mon Entreprise'!K8&gt;Annexes!U24,0,IF(AB115=TRUE,IF(AB121&gt;Annexes!S6,Annexes!S6,ROUND(AB121,0)),IF(AB118&gt;=0.5,IF(OR(AB113="OUI",AND(AB114="OUI",AB112&gt;=Annexes!T5),AB115=TRUE),IF(AB121&gt;Annexes!S6,Annexes!S6,ROUND(AB121,0)),IF(AND(AB114="OUI",AB112&lt;Annexes!T5),0,0)),0))),0)</f>
        <v>0</v>
      </c>
      <c r="AC124" s="1"/>
      <c r="AD124" s="1"/>
      <c r="AE124" s="13"/>
    </row>
    <row r="125" spans="2:31" ht="15.75" customHeight="1">
      <c r="M125" s="3"/>
      <c r="T125" s="14"/>
      <c r="U125" s="276"/>
      <c r="V125" s="276"/>
      <c r="W125" s="276"/>
      <c r="X125" s="276"/>
      <c r="Y125" s="276"/>
      <c r="Z125" s="1"/>
      <c r="AA125" s="1"/>
      <c r="AB125" s="276"/>
      <c r="AC125" s="1"/>
      <c r="AD125" s="1"/>
      <c r="AE125" s="13"/>
    </row>
    <row r="126" spans="2:31" ht="15" customHeight="1" thickBot="1">
      <c r="B126" s="225"/>
      <c r="C126" s="414" t="s">
        <v>99</v>
      </c>
      <c r="D126" s="414"/>
      <c r="E126" s="414"/>
      <c r="F126" s="414"/>
      <c r="G126" s="414"/>
      <c r="H126" s="414"/>
      <c r="I126" s="226"/>
      <c r="J126" s="226"/>
      <c r="K126" s="226"/>
      <c r="L126" s="226"/>
      <c r="M126" s="226"/>
      <c r="N126" s="226"/>
      <c r="O126" s="226"/>
      <c r="T126" s="15"/>
      <c r="U126" s="10"/>
      <c r="V126" s="10"/>
      <c r="W126" s="10"/>
      <c r="X126" s="10"/>
      <c r="Y126" s="10"/>
      <c r="Z126" s="10"/>
      <c r="AA126" s="10"/>
      <c r="AB126" s="10"/>
      <c r="AC126" s="10"/>
      <c r="AD126" s="10"/>
      <c r="AE126" s="4"/>
    </row>
    <row r="127" spans="2:31" ht="15" customHeight="1">
      <c r="B127" s="63"/>
      <c r="C127" s="24"/>
      <c r="D127" s="24"/>
      <c r="E127" s="24"/>
      <c r="F127" s="24"/>
      <c r="G127" s="24"/>
      <c r="H127" s="24"/>
      <c r="I127" s="1"/>
      <c r="J127" s="1"/>
      <c r="K127" s="1"/>
      <c r="L127" s="1"/>
      <c r="M127" s="1"/>
      <c r="N127" s="1"/>
      <c r="O127" s="1"/>
      <c r="T127" s="16"/>
      <c r="U127" s="11"/>
      <c r="V127" s="11"/>
      <c r="W127" s="11"/>
      <c r="X127" s="11"/>
      <c r="Y127" s="11"/>
      <c r="Z127" s="11"/>
      <c r="AA127" s="11"/>
      <c r="AB127" s="11"/>
      <c r="AC127" s="11"/>
      <c r="AD127" s="11"/>
      <c r="AE127" s="12"/>
    </row>
    <row r="128" spans="2:31" ht="15.75" customHeight="1">
      <c r="B128" s="103"/>
      <c r="C128" s="385" t="s">
        <v>122</v>
      </c>
      <c r="D128" s="385"/>
      <c r="E128" s="385"/>
      <c r="F128" s="385"/>
      <c r="G128" s="385"/>
      <c r="H128" s="385"/>
      <c r="I128" s="385"/>
      <c r="J128" s="385"/>
      <c r="K128" s="385"/>
      <c r="L128" s="385"/>
      <c r="M128" s="385"/>
      <c r="N128" s="385"/>
      <c r="O128" s="385"/>
      <c r="P128" s="1"/>
      <c r="T128" s="14"/>
      <c r="U128" s="1"/>
      <c r="V128" s="1"/>
      <c r="W128" s="1"/>
      <c r="X128" s="1"/>
      <c r="Y128" s="1"/>
      <c r="Z128" s="1"/>
      <c r="AA128" s="1"/>
      <c r="AB128" s="1"/>
      <c r="AC128" s="1"/>
      <c r="AD128" s="1"/>
      <c r="AE128" s="13"/>
    </row>
    <row r="129" spans="2:31" ht="15.75">
      <c r="B129" s="103"/>
      <c r="C129" s="281"/>
      <c r="D129" s="60" t="s">
        <v>26</v>
      </c>
      <c r="E129" s="281"/>
      <c r="F129" s="281"/>
      <c r="G129" s="281"/>
      <c r="H129" s="281"/>
      <c r="I129" s="281"/>
      <c r="J129" s="281"/>
      <c r="K129" s="281"/>
      <c r="L129" s="281"/>
      <c r="M129" s="281"/>
      <c r="N129" s="281"/>
      <c r="O129" s="281"/>
      <c r="P129" s="1"/>
      <c r="T129" s="25"/>
      <c r="U129" s="379" t="s">
        <v>20</v>
      </c>
      <c r="V129" s="379"/>
      <c r="W129" s="379"/>
      <c r="X129" s="1"/>
      <c r="Y129" s="282" t="s">
        <v>6</v>
      </c>
      <c r="Z129" s="282"/>
      <c r="AA129" s="282"/>
      <c r="AB129" s="282" t="s">
        <v>23</v>
      </c>
      <c r="AC129" s="282"/>
      <c r="AD129" s="282"/>
      <c r="AE129" s="26" t="s">
        <v>24</v>
      </c>
    </row>
    <row r="130" spans="2:31" ht="16.5" hidden="1" thickBot="1">
      <c r="B130" s="103"/>
      <c r="C130" s="281"/>
      <c r="D130" s="60"/>
      <c r="E130" s="281"/>
      <c r="F130" s="281"/>
      <c r="G130" s="281"/>
      <c r="H130" s="281"/>
      <c r="I130" s="281"/>
      <c r="J130" s="281"/>
      <c r="K130" s="281"/>
      <c r="L130" s="281"/>
      <c r="M130" s="281"/>
      <c r="N130" s="281"/>
      <c r="O130" s="281"/>
      <c r="P130" s="1"/>
      <c r="T130" s="25"/>
      <c r="U130" s="282"/>
      <c r="V130" s="282"/>
      <c r="W130" s="282"/>
      <c r="X130" s="1"/>
      <c r="Y130" s="282"/>
      <c r="Z130" s="282"/>
      <c r="AA130" s="282"/>
      <c r="AB130" s="282"/>
      <c r="AC130" s="282"/>
      <c r="AD130" s="282"/>
      <c r="AE130" s="26"/>
    </row>
    <row r="131" spans="2:31" ht="15.75" hidden="1" customHeight="1">
      <c r="B131" s="103"/>
      <c r="C131" s="281"/>
      <c r="D131" s="386" t="str">
        <f>IFERROR(IF(AND(AB164=0,AB165=0,AB166=0),"Vous ne pouvez pas bénéficier du fonds de solidarité pour le mois de Décembre 2020",IF(AND(AB166&gt;AB165,AB166&gt;AB164),"Votre entreprise peut bénéficier d'une aide de "&amp;AB166&amp;" €, au titre d'une fermeture Administrative, ou d'une perte d'au moins 50 % ou 70 % du CA pour les activités mentionnées en annexe 1, ou d'une perte d'au moins 70 % du CA pour les activités mentionnées en annexe 2 ou 3",IF(AB165&gt;AB164,"Votre entreprise peut bénéficier d'une aide de "&amp;AB165&amp;"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"&amp;AB164&amp;" €, au titre d'une perte d'au-moins 50 % de votre CA en Décembre 2020"))),"Vous n'avez pas indiqué de chiffre d'affaires de référence")</f>
        <v>Vous ne pouvez pas bénéficier du fonds de solidarité pour le mois de Décembre 2020</v>
      </c>
      <c r="E131" s="387"/>
      <c r="F131" s="387"/>
      <c r="G131" s="387"/>
      <c r="H131" s="387"/>
      <c r="I131" s="387"/>
      <c r="J131" s="387"/>
      <c r="K131" s="387"/>
      <c r="L131" s="387"/>
      <c r="M131" s="387"/>
      <c r="N131" s="387"/>
      <c r="O131" s="388"/>
      <c r="P131" s="1"/>
      <c r="T131" s="378" t="s">
        <v>103</v>
      </c>
      <c r="U131" s="379"/>
      <c r="V131" s="379"/>
      <c r="W131" s="379"/>
      <c r="X131" s="1"/>
      <c r="Y131" s="7">
        <f>'Mon Entreprise'!I81</f>
        <v>0</v>
      </c>
      <c r="Z131" s="133"/>
      <c r="AA131" s="21"/>
      <c r="AB131" s="7">
        <f>IF('Mon Entreprise'!I81-'Mon Entreprise'!M81&lt;0,0,'Mon Entreprise'!I81-'Mon Entreprise'!M81)</f>
        <v>0</v>
      </c>
      <c r="AC131" s="13"/>
      <c r="AD131" s="1"/>
      <c r="AE131" s="27">
        <f>IFERROR(1-'Mon Entreprise'!M81/'Mon Entreprise'!I81,0)</f>
        <v>0</v>
      </c>
    </row>
    <row r="132" spans="2:31" ht="15.75" hidden="1" customHeight="1">
      <c r="B132" s="103"/>
      <c r="C132" s="281"/>
      <c r="D132" s="389"/>
      <c r="E132" s="390"/>
      <c r="F132" s="390"/>
      <c r="G132" s="390"/>
      <c r="H132" s="390"/>
      <c r="I132" s="390"/>
      <c r="J132" s="390"/>
      <c r="K132" s="390"/>
      <c r="L132" s="390"/>
      <c r="M132" s="390"/>
      <c r="N132" s="390"/>
      <c r="O132" s="391"/>
      <c r="P132" s="1"/>
      <c r="T132" s="378" t="s">
        <v>25</v>
      </c>
      <c r="U132" s="379"/>
      <c r="V132" s="379"/>
      <c r="W132" s="379"/>
      <c r="X132" s="1"/>
      <c r="Y132" s="7">
        <f>'Mon Entreprise'!I63</f>
        <v>0</v>
      </c>
      <c r="Z132" s="133"/>
      <c r="AA132" s="21"/>
      <c r="AB132" s="7">
        <f>IF('Mon Entreprise'!I63-'Mon Entreprise'!M81&lt;0,0,'Mon Entreprise'!I63-'Mon Entreprise'!M81)</f>
        <v>0</v>
      </c>
      <c r="AC132" s="36"/>
      <c r="AD132" s="1"/>
      <c r="AE132" s="27">
        <f>IFERROR(1-'Mon Entreprise'!M81/'Mon Entreprise'!I63,0)</f>
        <v>0</v>
      </c>
    </row>
    <row r="133" spans="2:31" ht="15.75" hidden="1" customHeight="1">
      <c r="B133" s="103"/>
      <c r="C133" s="281"/>
      <c r="D133" s="389"/>
      <c r="E133" s="390"/>
      <c r="F133" s="390"/>
      <c r="G133" s="390"/>
      <c r="H133" s="390"/>
      <c r="I133" s="390"/>
      <c r="J133" s="390"/>
      <c r="K133" s="390"/>
      <c r="L133" s="390"/>
      <c r="M133" s="390"/>
      <c r="N133" s="390"/>
      <c r="O133" s="391"/>
      <c r="P133" s="1"/>
      <c r="T133" s="395" t="s">
        <v>22</v>
      </c>
      <c r="U133" s="396"/>
      <c r="V133" s="396"/>
      <c r="W133" s="396"/>
      <c r="X133" s="139"/>
      <c r="Y133" s="140" t="str">
        <f>IF('Mon Entreprise'!I105="","NC",'Mon Entreprise'!I105)</f>
        <v>NC</v>
      </c>
      <c r="Z133" s="193"/>
      <c r="AA133" s="194"/>
      <c r="AB133" s="143" t="str">
        <f>IFERROR(IF('Mon Entreprise'!I105-'Mon Entreprise'!M81&lt;0,0,'Mon Entreprise'!I105-'Mon Entreprise'!M81),"NC")</f>
        <v>NC</v>
      </c>
      <c r="AC133" s="195"/>
      <c r="AD133" s="139"/>
      <c r="AE133" s="146" t="str">
        <f>IFERROR(1-'Mon Entreprise'!M81/'Mon Entreprise'!I105,"NC")</f>
        <v>NC</v>
      </c>
    </row>
    <row r="134" spans="2:31" ht="15.75" hidden="1" customHeight="1">
      <c r="B134" s="103"/>
      <c r="C134" s="281"/>
      <c r="D134" s="389"/>
      <c r="E134" s="390"/>
      <c r="F134" s="390"/>
      <c r="G134" s="390"/>
      <c r="H134" s="390"/>
      <c r="I134" s="390"/>
      <c r="J134" s="390"/>
      <c r="K134" s="390"/>
      <c r="L134" s="390"/>
      <c r="M134" s="390"/>
      <c r="N134" s="390"/>
      <c r="O134" s="391"/>
      <c r="P134" s="1"/>
      <c r="T134" s="14"/>
      <c r="U134" s="1"/>
      <c r="V134" s="1"/>
      <c r="W134" s="1"/>
      <c r="X134" s="1"/>
      <c r="Y134" s="1"/>
      <c r="Z134" s="1"/>
      <c r="AA134" s="1"/>
      <c r="AB134" s="1"/>
      <c r="AC134" s="1"/>
      <c r="AD134" s="1"/>
      <c r="AE134" s="13"/>
    </row>
    <row r="135" spans="2:31" ht="16.5" hidden="1" customHeight="1" thickBot="1">
      <c r="B135" s="103"/>
      <c r="C135" s="281"/>
      <c r="D135" s="392"/>
      <c r="E135" s="393"/>
      <c r="F135" s="393"/>
      <c r="G135" s="393"/>
      <c r="H135" s="393"/>
      <c r="I135" s="393"/>
      <c r="J135" s="393"/>
      <c r="K135" s="393"/>
      <c r="L135" s="393"/>
      <c r="M135" s="393"/>
      <c r="N135" s="393"/>
      <c r="O135" s="394"/>
      <c r="P135" s="1"/>
      <c r="T135" s="14"/>
      <c r="AC135" s="1"/>
      <c r="AD135" s="1"/>
      <c r="AE135" s="13"/>
    </row>
    <row r="136" spans="2:31" ht="15.75" hidden="1">
      <c r="B136" s="103"/>
      <c r="C136" s="281"/>
      <c r="D136" s="60"/>
      <c r="E136" s="281"/>
      <c r="F136" s="281"/>
      <c r="G136" s="281"/>
      <c r="H136" s="281"/>
      <c r="I136" s="281"/>
      <c r="J136" s="281"/>
      <c r="K136" s="281"/>
      <c r="L136" s="281"/>
      <c r="M136" s="281"/>
      <c r="N136" s="281"/>
      <c r="O136" s="281"/>
      <c r="P136" s="1"/>
      <c r="T136" s="14"/>
      <c r="AC136" s="1"/>
      <c r="AD136" s="1"/>
      <c r="AE136" s="13"/>
    </row>
    <row r="137" spans="2:31" ht="15.75">
      <c r="B137" s="103"/>
      <c r="C137" s="78"/>
      <c r="D137" s="78"/>
      <c r="E137" s="78"/>
      <c r="F137" s="78"/>
      <c r="G137" s="78"/>
      <c r="H137" s="78"/>
      <c r="I137" s="78"/>
      <c r="J137" s="78"/>
      <c r="K137" s="78"/>
      <c r="L137" s="78"/>
      <c r="M137" s="78"/>
      <c r="N137" s="78"/>
      <c r="O137" s="78"/>
      <c r="P137" s="1"/>
      <c r="T137" s="14"/>
      <c r="AC137" s="1"/>
      <c r="AD137" s="1"/>
      <c r="AE137" s="13"/>
    </row>
    <row r="138" spans="2:31" ht="15.75">
      <c r="B138" s="103"/>
      <c r="C138" s="281"/>
      <c r="D138" s="60"/>
      <c r="E138" s="281"/>
      <c r="F138" s="281"/>
      <c r="G138" s="281"/>
      <c r="H138" s="281"/>
      <c r="I138" s="281"/>
      <c r="J138" s="281"/>
      <c r="K138" s="281"/>
      <c r="L138" s="281"/>
      <c r="M138" s="281"/>
      <c r="N138" s="281"/>
      <c r="O138" s="281"/>
      <c r="P138" s="1"/>
      <c r="T138" s="14"/>
      <c r="U138" s="1"/>
      <c r="V138" s="1"/>
      <c r="W138" s="1"/>
      <c r="X138" s="1"/>
      <c r="Y138" s="1"/>
      <c r="Z138" s="1"/>
      <c r="AA138" s="1"/>
      <c r="AB138" s="1"/>
      <c r="AC138" s="1"/>
      <c r="AD138" s="1"/>
      <c r="AE138" s="13"/>
    </row>
    <row r="139" spans="2:31" ht="15.75">
      <c r="B139" s="103"/>
      <c r="C139" s="281" t="s">
        <v>104</v>
      </c>
      <c r="D139" s="60"/>
      <c r="E139" s="281"/>
      <c r="F139" s="281"/>
      <c r="G139" s="281"/>
      <c r="H139" s="281"/>
      <c r="I139" s="281"/>
      <c r="J139" s="281"/>
      <c r="K139" s="281"/>
      <c r="L139" s="281"/>
      <c r="M139" s="281"/>
      <c r="N139" s="281"/>
      <c r="O139" s="281"/>
      <c r="P139" s="1"/>
      <c r="T139" s="14"/>
      <c r="U139" s="377" t="s">
        <v>74</v>
      </c>
      <c r="V139" s="377"/>
      <c r="W139" s="377"/>
      <c r="X139" s="377"/>
      <c r="Y139" s="377"/>
      <c r="Z139" s="1"/>
      <c r="AA139" s="14"/>
      <c r="AB139" s="278" t="str">
        <f>IF('Mon Entreprise'!K8&lt;=Annexes!U24,"Oui","Non")</f>
        <v>Oui</v>
      </c>
      <c r="AC139" s="1"/>
      <c r="AD139" s="1"/>
      <c r="AE139" s="13"/>
    </row>
    <row r="140" spans="2:31" ht="15.75">
      <c r="B140" s="169"/>
      <c r="C140" s="281"/>
      <c r="D140" s="60" t="str">
        <f>IFERROR(IF('Mon Entreprise'!K8&gt;=Annexes!S20,IF(AB131&gt;=AB133,"Le CA de référence est celui de Décembre 2019, soit une perte de "&amp;ROUND(AB131,0)&amp;" €"&amp;" ==&gt; "&amp;ROUND(AE131*100,0)&amp;" %","Le CA de référence est celui de la création, soit une perte de "&amp;ROUND(AB133,0)&amp;" €"&amp;" ==&gt; "&amp;ROUND(AE133*100,0)&amp;" %"),IF(AB131&gt;=AB132,"Le CA de référence est celui de Décembre 2019, soit une perte de "&amp;ROUND(AB131,0)&amp;" €"&amp;" ==&gt; "&amp;ROUND(AE131*100,0)&amp;" %","Le CA de référence est celui de de l'exercice 2019, soit une perte de "&amp;ROUND(AB132,0)&amp;" €"&amp;" ==&gt; "&amp;ROUND(AE132*100,0)&amp;" %")),"")</f>
        <v>Le CA de référence est celui de Décembre 2019, soit une perte de 0 € ==&gt; 0 %</v>
      </c>
      <c r="E140" s="281"/>
      <c r="F140" s="281"/>
      <c r="G140" s="281"/>
      <c r="H140" s="281"/>
      <c r="I140" s="281"/>
      <c r="J140" s="281"/>
      <c r="K140" s="281"/>
      <c r="L140" s="281"/>
      <c r="M140" s="281"/>
      <c r="N140" s="281"/>
      <c r="O140" s="281"/>
      <c r="P140" s="1"/>
      <c r="T140" s="14"/>
      <c r="U140" s="377" t="s">
        <v>87</v>
      </c>
      <c r="V140" s="377"/>
      <c r="W140" s="377"/>
      <c r="X140" s="377"/>
      <c r="Y140" s="377"/>
      <c r="Z140" s="1"/>
      <c r="AA140" s="14"/>
      <c r="AB140" s="276">
        <f>IF('Mon Entreprise'!K8&gt;=Annexes!S20,IF(AB131&gt;=AB133,AB131,AB133),IF(AB131&gt;=AB132,AB131,AB132))</f>
        <v>0</v>
      </c>
      <c r="AC140" s="1"/>
      <c r="AD140" s="1"/>
      <c r="AE140" s="13"/>
    </row>
    <row r="141" spans="2:31" ht="16.5" thickBot="1">
      <c r="B141" s="103"/>
      <c r="C141" s="281"/>
      <c r="D141" s="60"/>
      <c r="E141" s="281"/>
      <c r="F141" s="281"/>
      <c r="G141" s="281"/>
      <c r="H141" s="281"/>
      <c r="I141" s="281"/>
      <c r="J141" s="281"/>
      <c r="K141" s="281"/>
      <c r="L141" s="281"/>
      <c r="M141" s="281"/>
      <c r="N141" s="281"/>
      <c r="O141" s="281"/>
      <c r="P141" s="1"/>
      <c r="T141" s="14"/>
      <c r="U141" s="377" t="s">
        <v>88</v>
      </c>
      <c r="V141" s="377"/>
      <c r="W141" s="377"/>
      <c r="X141" s="377"/>
      <c r="Y141" s="377"/>
      <c r="Z141" s="1"/>
      <c r="AA141" s="14"/>
      <c r="AB141" s="19">
        <f>IF('Mon Entreprise'!K8&gt;=Annexes!S20,IF(AB131&gt;=AB133,AE131,AE133),IF(AB131&gt;=AB132,AE131,AE132))</f>
        <v>0</v>
      </c>
      <c r="AC141" s="1"/>
      <c r="AD141" s="1"/>
      <c r="AE141" s="13"/>
    </row>
    <row r="142" spans="2:31" ht="15.75" customHeight="1">
      <c r="B142" s="169"/>
      <c r="C142" s="281"/>
      <c r="D142" s="400" t="str">
        <f>IFERROR(IF(AB139="Non","Vous avez débuté votre activité après le 30 Septembre 2020, vous ne pouvez donc pas bénéficier de cette aide",IF(AB141&gt;=0.5,IF(AB140&gt;Annexes!S5,"Dans votre cas, l'aide est Plafonnée, à "&amp;Annexes!S5&amp;" € pour le mois de Décembre","Vous pouvez bénéficier, au titre de cette aide, d'un montant de "&amp;ROUND(AB140,0)&amp;" € pour le mois de Décembre"),"L'entreprise n'a pas une perte d'au moins 50 % en Décembre 2020")),"Vous n'avez pas indiqué de chiffre d'affaires de référence")</f>
        <v>L'entreprise n'a pas une perte d'au moins 50 % en Décembre 2020</v>
      </c>
      <c r="E142" s="401"/>
      <c r="F142" s="401"/>
      <c r="G142" s="401"/>
      <c r="H142" s="401"/>
      <c r="I142" s="401"/>
      <c r="J142" s="401"/>
      <c r="K142" s="401"/>
      <c r="L142" s="401"/>
      <c r="M142" s="401"/>
      <c r="N142" s="401"/>
      <c r="O142" s="402"/>
      <c r="P142" s="1"/>
      <c r="T142" s="14"/>
      <c r="U142" s="1"/>
      <c r="V142" s="1"/>
      <c r="W142" s="1"/>
      <c r="X142" s="1"/>
      <c r="Y142" s="1"/>
      <c r="Z142" s="1"/>
      <c r="AA142" s="1"/>
      <c r="AB142" s="1"/>
      <c r="AC142" s="1"/>
      <c r="AD142" s="1"/>
      <c r="AE142" s="13"/>
    </row>
    <row r="143" spans="2:31" ht="15.75" customHeight="1">
      <c r="B143" s="169"/>
      <c r="C143" s="281"/>
      <c r="D143" s="403"/>
      <c r="E143" s="404"/>
      <c r="F143" s="404"/>
      <c r="G143" s="404"/>
      <c r="H143" s="404"/>
      <c r="I143" s="404"/>
      <c r="J143" s="404"/>
      <c r="K143" s="404"/>
      <c r="L143" s="404"/>
      <c r="M143" s="404"/>
      <c r="N143" s="404"/>
      <c r="O143" s="405"/>
      <c r="P143" s="1"/>
      <c r="T143" s="14"/>
      <c r="U143" s="1"/>
      <c r="V143" s="1"/>
      <c r="W143" s="1"/>
      <c r="X143" s="1"/>
      <c r="Y143" s="1"/>
      <c r="Z143" s="1"/>
      <c r="AA143" s="1"/>
      <c r="AB143" s="1"/>
      <c r="AC143" s="1"/>
      <c r="AD143" s="1"/>
      <c r="AE143" s="13"/>
    </row>
    <row r="144" spans="2:31" ht="15.75" customHeight="1">
      <c r="B144" s="103"/>
      <c r="C144" s="281"/>
      <c r="D144" s="403"/>
      <c r="E144" s="404"/>
      <c r="F144" s="404"/>
      <c r="G144" s="404"/>
      <c r="H144" s="404"/>
      <c r="I144" s="404"/>
      <c r="J144" s="404"/>
      <c r="K144" s="404"/>
      <c r="L144" s="404"/>
      <c r="M144" s="404"/>
      <c r="N144" s="404"/>
      <c r="O144" s="405"/>
      <c r="P144" s="1"/>
      <c r="T144" s="14"/>
      <c r="U144" s="1"/>
      <c r="V144" s="1"/>
      <c r="W144" s="1"/>
      <c r="X144" s="1"/>
      <c r="Y144" s="1"/>
      <c r="Z144" s="1"/>
      <c r="AA144" s="1"/>
      <c r="AB144" s="1"/>
      <c r="AC144" s="1"/>
      <c r="AD144" s="1"/>
      <c r="AE144" s="13"/>
    </row>
    <row r="145" spans="1:31" ht="16.5" customHeight="1" thickBot="1">
      <c r="B145" s="103"/>
      <c r="C145" s="281"/>
      <c r="D145" s="406"/>
      <c r="E145" s="407"/>
      <c r="F145" s="407"/>
      <c r="G145" s="407"/>
      <c r="H145" s="407"/>
      <c r="I145" s="407"/>
      <c r="J145" s="407"/>
      <c r="K145" s="407"/>
      <c r="L145" s="407"/>
      <c r="M145" s="407"/>
      <c r="N145" s="407"/>
      <c r="O145" s="408"/>
      <c r="P145" s="1"/>
      <c r="T145" s="14"/>
      <c r="U145" s="1"/>
      <c r="V145" s="1"/>
      <c r="W145" s="1"/>
      <c r="X145" s="1"/>
      <c r="Y145" s="1"/>
      <c r="Z145" s="1"/>
      <c r="AA145" s="1"/>
      <c r="AB145" s="1"/>
      <c r="AC145" s="1"/>
      <c r="AD145" s="1"/>
      <c r="AE145" s="13"/>
    </row>
    <row r="146" spans="1:31" ht="16.5" customHeight="1">
      <c r="B146" s="103"/>
      <c r="C146" s="170"/>
      <c r="D146" s="171"/>
      <c r="E146" s="171"/>
      <c r="F146" s="171"/>
      <c r="G146" s="171"/>
      <c r="H146" s="171"/>
      <c r="I146" s="171"/>
      <c r="J146" s="171"/>
      <c r="K146" s="171"/>
      <c r="L146" s="171"/>
      <c r="M146" s="171"/>
      <c r="N146" s="171"/>
      <c r="O146" s="171"/>
      <c r="P146" s="1"/>
      <c r="T146" s="14"/>
      <c r="U146" s="1"/>
      <c r="V146" s="1"/>
      <c r="W146" s="1"/>
      <c r="X146" s="1"/>
      <c r="Y146" s="1"/>
      <c r="Z146" s="1"/>
      <c r="AA146" s="1"/>
      <c r="AB146" s="1"/>
      <c r="AC146" s="1"/>
      <c r="AD146" s="1"/>
      <c r="AE146" s="13"/>
    </row>
    <row r="147" spans="1:31" ht="16.5" customHeight="1">
      <c r="B147" s="103"/>
      <c r="C147" s="281"/>
      <c r="D147" s="277"/>
      <c r="E147" s="277"/>
      <c r="F147" s="277"/>
      <c r="G147" s="277"/>
      <c r="H147" s="277"/>
      <c r="I147" s="277"/>
      <c r="J147" s="277"/>
      <c r="K147" s="277"/>
      <c r="L147" s="277"/>
      <c r="M147" s="277"/>
      <c r="N147" s="277"/>
      <c r="O147" s="277"/>
      <c r="P147" s="1"/>
      <c r="T147" s="411" t="s">
        <v>4</v>
      </c>
      <c r="U147" s="412"/>
      <c r="V147" s="412"/>
      <c r="W147" s="412"/>
      <c r="X147" s="412"/>
      <c r="Y147" s="412"/>
      <c r="Z147" s="139"/>
      <c r="AA147" s="145"/>
      <c r="AB147" s="196">
        <f>IFERROR(IF('Mon Entreprise'!K8&lt;Annexes!U14,IF('Mon Entreprise'!K8&lt;Annexes!S17,IF(IFERROR(1-'Mon Entreprise'!M83/'Mon Entreprise'!I83,0)&gt;=IFERROR(1-'Mon Entreprise'!M83/('Mon Entreprise'!I63*2),0),1-'Mon Entreprise'!M83/'Mon Entreprise'!I83,1-'Mon Entreprise'!M83/('Mon Entreprise'!I63*2)),1-'Mon Entreprise'!M83/'Mon Entreprise'!I126),0),0)</f>
        <v>0</v>
      </c>
      <c r="AC147" s="1"/>
      <c r="AD147" s="1"/>
      <c r="AE147" s="13"/>
    </row>
    <row r="148" spans="1:31" ht="16.5" customHeight="1">
      <c r="B148" s="103"/>
      <c r="C148" s="413" t="s">
        <v>119</v>
      </c>
      <c r="D148" s="413"/>
      <c r="E148" s="413"/>
      <c r="F148" s="413"/>
      <c r="G148" s="413"/>
      <c r="H148" s="413"/>
      <c r="I148" s="413"/>
      <c r="J148" s="413"/>
      <c r="K148" s="413"/>
      <c r="L148" s="413"/>
      <c r="M148" s="413"/>
      <c r="N148" s="413"/>
      <c r="O148" s="413"/>
      <c r="P148" s="1"/>
      <c r="T148" s="110"/>
      <c r="U148" s="399" t="s">
        <v>107</v>
      </c>
      <c r="V148" s="399"/>
      <c r="W148" s="399"/>
      <c r="X148" s="399"/>
      <c r="Y148" s="399"/>
      <c r="Z148" s="139"/>
      <c r="AA148" s="145"/>
      <c r="AB148" s="196">
        <f>IFERROR(IF('Mon Entreprise'!K8&lt;Annexes!U14,AB104,1-'Mon Entreprise'!M79/'Mon Entreprise'!I130),0)</f>
        <v>0</v>
      </c>
      <c r="AC148" s="1"/>
      <c r="AD148" s="1"/>
      <c r="AE148" s="13"/>
    </row>
    <row r="149" spans="1:31" ht="16.5" customHeight="1">
      <c r="B149" s="103"/>
      <c r="C149" s="413"/>
      <c r="D149" s="413"/>
      <c r="E149" s="413"/>
      <c r="F149" s="413"/>
      <c r="G149" s="413"/>
      <c r="H149" s="413"/>
      <c r="I149" s="413"/>
      <c r="J149" s="413"/>
      <c r="K149" s="413"/>
      <c r="L149" s="413"/>
      <c r="M149" s="413"/>
      <c r="N149" s="413"/>
      <c r="O149" s="413"/>
      <c r="P149" s="1"/>
      <c r="T149" s="110"/>
      <c r="U149" s="399" t="s">
        <v>116</v>
      </c>
      <c r="V149" s="399"/>
      <c r="W149" s="399"/>
      <c r="X149" s="399"/>
      <c r="Y149" s="399"/>
      <c r="Z149" s="139"/>
      <c r="AA149" s="145"/>
      <c r="AB149" s="196">
        <f>IFERROR(IF(Annexes!S27&gt;'Mon Entreprise'!K8,1-'Mon Entreprise'!M63/'Mon Entreprise'!I63,""),0)</f>
        <v>0</v>
      </c>
      <c r="AC149" s="1"/>
      <c r="AD149" s="1"/>
      <c r="AE149" s="13"/>
    </row>
    <row r="150" spans="1:31" ht="16.5" customHeight="1">
      <c r="B150" s="103"/>
      <c r="C150" s="413"/>
      <c r="D150" s="413"/>
      <c r="E150" s="413"/>
      <c r="F150" s="413"/>
      <c r="G150" s="413"/>
      <c r="H150" s="413"/>
      <c r="I150" s="413"/>
      <c r="J150" s="413"/>
      <c r="K150" s="413"/>
      <c r="L150" s="413"/>
      <c r="M150" s="413"/>
      <c r="N150" s="413"/>
      <c r="O150" s="413"/>
      <c r="P150" s="1"/>
      <c r="T150" s="14"/>
      <c r="U150" s="397" t="s">
        <v>8</v>
      </c>
      <c r="V150" s="397"/>
      <c r="W150" s="397"/>
      <c r="X150" s="397"/>
      <c r="Y150" s="397"/>
      <c r="Z150" s="1"/>
      <c r="AA150" s="14"/>
      <c r="AB150" s="276" t="str">
        <f>IF((AND(Annexes!F5&gt;1,Annexes!F5&lt;=Annexes!H6)),"OUI","NON")</f>
        <v>NON</v>
      </c>
      <c r="AC150" s="1"/>
      <c r="AD150" s="1"/>
      <c r="AE150" s="13"/>
    </row>
    <row r="151" spans="1:31" ht="16.5" customHeight="1">
      <c r="B151" s="103"/>
      <c r="C151" s="281"/>
      <c r="D151" s="277"/>
      <c r="E151" s="301" t="str">
        <f>IF('Mon Entreprise'!K8&gt;Annexes!U24,"",IF(OR(AB150="OUI",AND(AB151="OUI",OR(AB147&gt;=Annexes!T5,AB148&gt;=Annexes!T5,'Mes Aides'!AB149&gt;=0.1)),AB152=TRUE),"",IF(AND(AB151="OUI",OR(AB147&lt;Annexes!T5,AB148&lt;Annexes!T5,'Mes Aides'!AB149&lt;0.1)),"L'entreprise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51" s="301"/>
      <c r="G151" s="301"/>
      <c r="H151" s="301"/>
      <c r="I151" s="301"/>
      <c r="J151" s="301"/>
      <c r="K151" s="301"/>
      <c r="L151" s="301"/>
      <c r="M151" s="301"/>
      <c r="N151" s="301"/>
      <c r="O151" s="301"/>
      <c r="P151" s="1"/>
      <c r="T151" s="14"/>
      <c r="U151" s="379" t="s">
        <v>120</v>
      </c>
      <c r="V151" s="379"/>
      <c r="W151" s="379"/>
      <c r="X151" s="379"/>
      <c r="Y151" s="379"/>
      <c r="Z151" s="1"/>
      <c r="AA151" s="14"/>
      <c r="AB151" s="276" t="str">
        <f>IF(OR(Annexes!M13=TRUE,AND(Annexes!F7&gt;1,Annexes!F7&lt;=Annexes!H8)),"OUI","NON")</f>
        <v>NON</v>
      </c>
      <c r="AC151" s="1"/>
      <c r="AD151" s="1"/>
      <c r="AE151" s="13"/>
    </row>
    <row r="152" spans="1:31" ht="16.5" customHeight="1">
      <c r="B152" s="169"/>
      <c r="C152" s="281"/>
      <c r="D152" s="277"/>
      <c r="E152" s="301"/>
      <c r="F152" s="301"/>
      <c r="G152" s="301"/>
      <c r="H152" s="301"/>
      <c r="I152" s="301"/>
      <c r="J152" s="301"/>
      <c r="K152" s="301"/>
      <c r="L152" s="301"/>
      <c r="M152" s="301"/>
      <c r="N152" s="301"/>
      <c r="O152" s="301"/>
      <c r="P152" s="1"/>
      <c r="T152" s="14"/>
      <c r="U152" s="379" t="s">
        <v>12</v>
      </c>
      <c r="V152" s="379"/>
      <c r="W152" s="379"/>
      <c r="X152" s="379"/>
      <c r="Y152" s="379"/>
      <c r="Z152" s="1"/>
      <c r="AA152" s="14"/>
      <c r="AB152" s="276" t="b">
        <f>Annexes!M11</f>
        <v>0</v>
      </c>
      <c r="AC152" s="1"/>
      <c r="AD152" s="1"/>
      <c r="AE152" s="13"/>
    </row>
    <row r="153" spans="1:31" ht="16.5" customHeight="1">
      <c r="A153" s="99"/>
      <c r="B153" s="103"/>
      <c r="C153" s="281"/>
      <c r="D153" s="384" t="str">
        <f>IFERROR(IF('Mon Entreprise'!K8&gt;=Annexes!S20,IF(AB131&gt;=AB133,"- Le CA de référence est celui de Décembre 2019, soit une perte de "&amp;ROUND(AB131,0)&amp;" €"&amp;" ==&gt; "&amp;ROUND(AE131*100,0)&amp;" %","- Le CA de référence est celui de la création, soit une perte de "&amp;ROUND(AB133,0)&amp;" €"&amp;" ==&gt; "&amp;ROUND(AE133*100,0)&amp;" %"),IF(AB131&gt;=AB132,"- Le CA de référence est celui de Décembre 2019, soit une perte de "&amp;ROUND(AB131,0)&amp;" €"&amp;" ==&gt; "&amp;ROUND(AE131*100,0)&amp;" %","- Le CA de référence est celui de l'exercice 2019, soit une perte de "&amp;ROUND(AB132,0)&amp;" €"&amp;" ==&gt; "&amp;ROUND(AE132*100,0)&amp;" %")),"")</f>
        <v>- Le CA de référence est celui de Décembre 2019, soit une perte de 0 € ==&gt; 0 %</v>
      </c>
      <c r="E153" s="384"/>
      <c r="F153" s="384"/>
      <c r="G153" s="384"/>
      <c r="H153" s="384"/>
      <c r="I153" s="384"/>
      <c r="J153" s="384"/>
      <c r="K153" s="384"/>
      <c r="L153" s="384"/>
      <c r="M153" s="384"/>
      <c r="N153" s="384"/>
      <c r="O153" s="384"/>
      <c r="P153" s="1"/>
      <c r="T153" s="14"/>
      <c r="U153" s="410" t="s">
        <v>74</v>
      </c>
      <c r="V153" s="410"/>
      <c r="W153" s="410"/>
      <c r="X153" s="410"/>
      <c r="Y153" s="410"/>
      <c r="Z153" s="139"/>
      <c r="AA153" s="145"/>
      <c r="AB153" s="278" t="str">
        <f>IF('Mon Entreprise'!K8&lt;=Annexes!U24,"Oui","Non")</f>
        <v>Oui</v>
      </c>
      <c r="AC153" s="139"/>
      <c r="AD153" s="1"/>
      <c r="AE153" s="13"/>
    </row>
    <row r="154" spans="1:31" ht="16.5" customHeight="1">
      <c r="B154" s="103"/>
      <c r="C154" s="281"/>
      <c r="D154" s="217" t="str">
        <f>IF(OR(AB150="OUI",AB152=TRUE),"- Sans ticket modérateur",IF(AND(AB151="OUI",OR(AB147&gt;=0.8,AB148&gt;=0.8,AB149&gt;=0.1)),"- La Perte de référence est plafonnée à 80 %, soit "&amp;ROUND(AB158,0)&amp;" €","- Sans ticket modérateur"))</f>
        <v>- Sans ticket modérateur</v>
      </c>
      <c r="E154" s="270"/>
      <c r="F154" s="270"/>
      <c r="G154" s="270"/>
      <c r="H154" s="270"/>
      <c r="I154" s="270"/>
      <c r="J154" s="270"/>
      <c r="K154" s="270"/>
      <c r="L154" s="270"/>
      <c r="M154" s="270"/>
      <c r="N154" s="270"/>
      <c r="O154" s="270"/>
      <c r="P154" s="1"/>
      <c r="T154" s="14"/>
      <c r="U154" s="410" t="s">
        <v>87</v>
      </c>
      <c r="V154" s="410"/>
      <c r="W154" s="410"/>
      <c r="X154" s="410"/>
      <c r="Y154" s="410"/>
      <c r="Z154" s="139"/>
      <c r="AA154" s="145"/>
      <c r="AB154" s="278">
        <f>IF('Mon Entreprise'!K8&gt;=Annexes!S20,IF(AB131&gt;=AB133,AB131,AB133),IF(AB131&gt;=AB132,AB131,AB132))</f>
        <v>0</v>
      </c>
      <c r="AC154" s="139"/>
      <c r="AD154" s="1"/>
      <c r="AE154" s="13"/>
    </row>
    <row r="155" spans="1:31" ht="16.5" customHeight="1" thickBot="1">
      <c r="B155" s="103"/>
      <c r="C155" s="281"/>
      <c r="D155" s="270"/>
      <c r="E155" s="270"/>
      <c r="F155" s="270"/>
      <c r="G155" s="270"/>
      <c r="H155" s="270"/>
      <c r="I155" s="270"/>
      <c r="J155" s="270"/>
      <c r="K155" s="270"/>
      <c r="L155" s="270"/>
      <c r="M155" s="270"/>
      <c r="N155" s="270"/>
      <c r="O155" s="270"/>
      <c r="P155" s="1"/>
      <c r="T155" s="14"/>
      <c r="U155" s="410" t="s">
        <v>88</v>
      </c>
      <c r="V155" s="410"/>
      <c r="W155" s="410"/>
      <c r="X155" s="410"/>
      <c r="Y155" s="410"/>
      <c r="Z155" s="139"/>
      <c r="AA155" s="145"/>
      <c r="AB155" s="278">
        <f>IF('Mon Entreprise'!K8&gt;=Annexes!S20,IF(AB131&gt;=AB133,AE131,AE133),IF(AB131&gt;=AB132,AE131,AE132))</f>
        <v>0</v>
      </c>
      <c r="AC155" s="139"/>
      <c r="AD155" s="1"/>
      <c r="AE155" s="13"/>
    </row>
    <row r="156" spans="1:31" ht="16.5" customHeight="1">
      <c r="B156" s="103"/>
      <c r="C156" s="281"/>
      <c r="D156" s="400" t="str">
        <f>IFERROR(IF('Mon Entreprise'!K8&gt;Annexes!U24,"Vous avez débuté votre activité après le 30 Septembre 2020, vous ne pouvez donc pas bénéficier de cette aide",IF(AB152=TRUE,IF(AB158&gt;Annexes!S6,"Dans votre cas, l'aide est Plafonnée, à "&amp;Annexes!S6&amp;" € pour le mois de Décembre","Vous pouvez bénéficier, au titre de cette aide, d'un montant de "&amp;ROUND(AB158,0)&amp;" € pour le mois de Décembre"),IF(AB155&gt;=0.5,IF(OR(AB150="OUI",AND(AB151="OUI",OR(AB147&gt;=Annexes!T5,AB148&gt;=Annexes!T5,AB149&gt;=0.1))),IF(AB158&gt;Annexes!S6,"Dans votre cas, l'aide est Plafonnée, à "&amp;Annexes!S6&amp;" € pour le mois de Décembre","Vous pouvez bénéficier, au titre de cette aide, d'un montant de "&amp;ROUND(AB158,0)&amp;" € pour le mois de Décembre"),IF(AND(AB151="OUI",OR(AB147&lt;Annexes!T5,AB148&lt;Annexes!T5,AB149&lt;0.1)),"L'entreprise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6" s="401"/>
      <c r="F156" s="401"/>
      <c r="G156" s="401"/>
      <c r="H156" s="401"/>
      <c r="I156" s="401"/>
      <c r="J156" s="401"/>
      <c r="K156" s="401"/>
      <c r="L156" s="401"/>
      <c r="M156" s="401"/>
      <c r="N156" s="401"/>
      <c r="O156" s="402"/>
      <c r="P156" s="1"/>
      <c r="T156" s="14"/>
      <c r="U156" s="396" t="s">
        <v>76</v>
      </c>
      <c r="V156" s="396"/>
      <c r="W156" s="396"/>
      <c r="X156" s="396"/>
      <c r="Y156" s="396"/>
      <c r="Z156" s="139"/>
      <c r="AA156" s="145"/>
      <c r="AB156" s="278">
        <f>IF(OR(AB150="OUI",AB152=TRUE),1,IF(AND(AB151="OUI",OR(AB147&gt;=0.8,AB148&gt;=0.8)),0.8,1))</f>
        <v>1</v>
      </c>
      <c r="AC156" s="139"/>
      <c r="AD156" s="1"/>
      <c r="AE156" s="13"/>
    </row>
    <row r="157" spans="1:31" ht="16.5" customHeight="1">
      <c r="B157" s="174"/>
      <c r="C157" s="281"/>
      <c r="D157" s="403"/>
      <c r="E157" s="404"/>
      <c r="F157" s="404"/>
      <c r="G157" s="404"/>
      <c r="H157" s="404"/>
      <c r="I157" s="404"/>
      <c r="J157" s="404"/>
      <c r="K157" s="404"/>
      <c r="L157" s="404"/>
      <c r="M157" s="404"/>
      <c r="N157" s="404"/>
      <c r="O157" s="405"/>
      <c r="P157" s="1"/>
      <c r="T157" s="14"/>
      <c r="U157" s="396" t="s">
        <v>83</v>
      </c>
      <c r="V157" s="396"/>
      <c r="W157" s="396"/>
      <c r="X157" s="396"/>
      <c r="Y157" s="396"/>
      <c r="Z157" s="139"/>
      <c r="AA157" s="145"/>
      <c r="AB157" s="278">
        <f>IF('Mon Entreprise'!K8&gt;=Annexes!S20,IF(AB131&gt;=AB133,Y131,Y133),IF(AB131&gt;=AB132,Y131,Y132))</f>
        <v>0</v>
      </c>
      <c r="AC157" s="139"/>
      <c r="AD157" s="1"/>
      <c r="AE157" s="13"/>
    </row>
    <row r="158" spans="1:31" ht="16.5" customHeight="1">
      <c r="B158" s="103"/>
      <c r="C158" s="281"/>
      <c r="D158" s="403"/>
      <c r="E158" s="404"/>
      <c r="F158" s="404"/>
      <c r="G158" s="404"/>
      <c r="H158" s="404"/>
      <c r="I158" s="404"/>
      <c r="J158" s="404"/>
      <c r="K158" s="404"/>
      <c r="L158" s="404"/>
      <c r="M158" s="404"/>
      <c r="N158" s="404"/>
      <c r="O158" s="405"/>
      <c r="P158" s="1"/>
      <c r="T158" s="14"/>
      <c r="U158" s="379" t="s">
        <v>109</v>
      </c>
      <c r="V158" s="379"/>
      <c r="W158" s="379"/>
      <c r="X158" s="379"/>
      <c r="Y158" s="379"/>
      <c r="Z158" s="1"/>
      <c r="AA158" s="14"/>
      <c r="AB158" s="276">
        <f>IF(AB156=1,AB154,IF(AB154*AB156&gt;1500,IF(AB154&gt;1500,AB154*AB156,"Impossible"),IF(AB154&lt;1500,AB154,1500)))</f>
        <v>0</v>
      </c>
      <c r="AC158" s="1"/>
      <c r="AD158" s="1"/>
      <c r="AE158" s="13"/>
    </row>
    <row r="159" spans="1:31" ht="16.5" customHeight="1" thickBot="1">
      <c r="B159" s="103"/>
      <c r="C159" s="281"/>
      <c r="D159" s="406"/>
      <c r="E159" s="407"/>
      <c r="F159" s="407"/>
      <c r="G159" s="407"/>
      <c r="H159" s="407"/>
      <c r="I159" s="407"/>
      <c r="J159" s="407"/>
      <c r="K159" s="407"/>
      <c r="L159" s="407"/>
      <c r="M159" s="407"/>
      <c r="N159" s="407"/>
      <c r="O159" s="408"/>
      <c r="P159" s="1"/>
      <c r="T159" s="14"/>
      <c r="U159" s="276"/>
      <c r="V159" s="276"/>
      <c r="W159" s="276"/>
      <c r="X159" s="276"/>
      <c r="Y159" s="276"/>
      <c r="Z159" s="1"/>
      <c r="AA159" s="1"/>
      <c r="AB159" s="1"/>
      <c r="AC159" s="1"/>
      <c r="AD159" s="1"/>
      <c r="AE159" s="13"/>
    </row>
    <row r="160" spans="1:31" ht="16.5" customHeight="1">
      <c r="B160" s="103"/>
      <c r="C160" s="170"/>
      <c r="D160" s="175"/>
      <c r="E160" s="175"/>
      <c r="F160" s="175"/>
      <c r="G160" s="175"/>
      <c r="H160" s="175"/>
      <c r="I160" s="175"/>
      <c r="J160" s="175"/>
      <c r="K160" s="175"/>
      <c r="L160" s="175"/>
      <c r="M160" s="175"/>
      <c r="N160" s="175"/>
      <c r="O160" s="175"/>
      <c r="P160" s="1"/>
      <c r="T160" s="14"/>
      <c r="U160" s="379"/>
      <c r="V160" s="379"/>
      <c r="W160" s="379"/>
      <c r="X160" s="379"/>
      <c r="Y160" s="379"/>
      <c r="Z160" s="1"/>
      <c r="AA160" s="1"/>
      <c r="AB160" s="1"/>
      <c r="AC160" s="1"/>
      <c r="AD160" s="1"/>
      <c r="AE160" s="13"/>
    </row>
    <row r="161" spans="2:31" ht="16.5" customHeight="1">
      <c r="B161" s="103"/>
      <c r="C161" s="281"/>
      <c r="D161" s="270"/>
      <c r="E161" s="270"/>
      <c r="F161" s="270"/>
      <c r="G161" s="270"/>
      <c r="H161" s="270"/>
      <c r="I161" s="270"/>
      <c r="J161" s="270"/>
      <c r="K161" s="270"/>
      <c r="L161" s="270"/>
      <c r="M161" s="270"/>
      <c r="N161" s="270"/>
      <c r="O161" s="270"/>
      <c r="P161" s="1"/>
      <c r="T161" s="14"/>
      <c r="U161" s="276"/>
      <c r="V161" s="276"/>
      <c r="W161" s="276"/>
      <c r="X161" s="276"/>
      <c r="Y161" s="276"/>
      <c r="Z161" s="1"/>
      <c r="AA161" s="1"/>
      <c r="AB161" s="1"/>
      <c r="AC161" s="1"/>
      <c r="AD161" s="1"/>
      <c r="AE161" s="13"/>
    </row>
    <row r="162" spans="2:31" ht="16.5" customHeight="1">
      <c r="B162" s="103"/>
      <c r="C162" s="398" t="s">
        <v>121</v>
      </c>
      <c r="D162" s="398"/>
      <c r="E162" s="398"/>
      <c r="F162" s="398"/>
      <c r="G162" s="398"/>
      <c r="H162" s="398"/>
      <c r="I162" s="398"/>
      <c r="J162" s="398"/>
      <c r="K162" s="398"/>
      <c r="L162" s="398"/>
      <c r="M162" s="398"/>
      <c r="N162" s="398"/>
      <c r="O162" s="398"/>
      <c r="P162" s="1"/>
      <c r="T162" s="14"/>
      <c r="U162" s="1"/>
      <c r="V162" s="1"/>
      <c r="W162" s="1"/>
      <c r="X162" s="1"/>
      <c r="Y162" s="1"/>
      <c r="Z162" s="1"/>
      <c r="AA162" s="1"/>
      <c r="AB162" s="1"/>
      <c r="AC162" s="1"/>
      <c r="AD162" s="1"/>
      <c r="AE162" s="13"/>
    </row>
    <row r="163" spans="2:31" ht="16.5" customHeight="1">
      <c r="B163" s="103"/>
      <c r="C163" s="398"/>
      <c r="D163" s="398"/>
      <c r="E163" s="398"/>
      <c r="F163" s="398"/>
      <c r="G163" s="398"/>
      <c r="H163" s="398"/>
      <c r="I163" s="398"/>
      <c r="J163" s="398"/>
      <c r="K163" s="398"/>
      <c r="L163" s="398"/>
      <c r="M163" s="398"/>
      <c r="N163" s="398"/>
      <c r="O163" s="398"/>
      <c r="P163" s="1"/>
      <c r="T163" s="14"/>
      <c r="U163" s="1"/>
      <c r="V163" s="1"/>
      <c r="W163" s="1"/>
      <c r="X163" s="1"/>
      <c r="Y163" s="1"/>
      <c r="Z163" s="1"/>
      <c r="AA163" s="1"/>
      <c r="AB163" s="1"/>
      <c r="AC163" s="1"/>
      <c r="AD163" s="1"/>
      <c r="AE163" s="13"/>
    </row>
    <row r="164" spans="2:31" ht="16.5" customHeight="1">
      <c r="B164" s="174"/>
      <c r="C164" s="398"/>
      <c r="D164" s="398"/>
      <c r="E164" s="398"/>
      <c r="F164" s="398"/>
      <c r="G164" s="398"/>
      <c r="H164" s="398"/>
      <c r="I164" s="398"/>
      <c r="J164" s="398"/>
      <c r="K164" s="398"/>
      <c r="L164" s="398"/>
      <c r="M164" s="398"/>
      <c r="N164" s="398"/>
      <c r="O164" s="398"/>
      <c r="P164" s="1"/>
      <c r="T164" s="14"/>
      <c r="U164" s="396" t="s">
        <v>85</v>
      </c>
      <c r="V164" s="396"/>
      <c r="W164" s="396"/>
      <c r="X164" s="396"/>
      <c r="Y164" s="396"/>
      <c r="Z164" s="68"/>
      <c r="AA164" s="1"/>
      <c r="AB164" s="1">
        <f>IFERROR(IF(AB139="Non",0,IF(AB141&gt;=0.5,IF(AB140&gt;Annexes!S5,Annexes!S5,ROUND(AB140,0)),0)),0)</f>
        <v>0</v>
      </c>
      <c r="AC164" s="1"/>
      <c r="AD164" s="1"/>
      <c r="AE164" s="13"/>
    </row>
    <row r="165" spans="2:31" ht="16.5" customHeight="1">
      <c r="B165" s="174"/>
      <c r="C165" s="281"/>
      <c r="D165" s="277"/>
      <c r="E165" s="301" t="str">
        <f>IF('Mon Entreprise'!K8&gt;Annexes!U24,"",IF(OR(AB150="OUI",AND(AB151="OUI",OR(AB147&gt;=Annexes!T5,AB148&gt;=Annexes!T5,'Mes Aides'!AB149&gt;=0.1)),AB152=TRUE),"",IF(AND(AB151="OUI",OR(AB147&lt;Annexes!T5,AB148&lt;Annexes!T5,'Mes Aides'!AB149&lt;0.1)),"L'entreprise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5" s="301"/>
      <c r="G165" s="301"/>
      <c r="H165" s="301"/>
      <c r="I165" s="301"/>
      <c r="J165" s="301"/>
      <c r="K165" s="301"/>
      <c r="L165" s="301"/>
      <c r="M165" s="301"/>
      <c r="N165" s="301"/>
      <c r="O165" s="301"/>
      <c r="P165" s="1"/>
      <c r="T165" s="14"/>
      <c r="U165" s="396" t="s">
        <v>84</v>
      </c>
      <c r="V165" s="396"/>
      <c r="W165" s="396"/>
      <c r="X165" s="396"/>
      <c r="Y165" s="396"/>
      <c r="Z165" s="68"/>
      <c r="AA165" s="1"/>
      <c r="AB165" s="1">
        <f>IFERROR(IF('Mon Entreprise'!K8&gt;Annexes!U24,0,IF(AB152=TRUE,IF(AB158&gt;Annexes!S6,Annexes!S6,ROUND(AB158,0)),IF(AB155&gt;=0.5,IF(OR(AB150="OUI",AND(AB151="OUI",OR(AB147&gt;=Annexes!T5,AB148&gt;=Annexes!T5))),IF(AB158&gt;Annexes!S6,Annexes!S6,ROUND(AB158,0)),IF(AND(AB151="OUI",OR(AB147&lt;Annexes!T5,AB148&lt;Annexes!T5)),0,0)),0))),0)</f>
        <v>0</v>
      </c>
      <c r="AC165" s="1"/>
      <c r="AD165" s="1"/>
      <c r="AE165" s="13"/>
    </row>
    <row r="166" spans="2:31" ht="16.5" customHeight="1">
      <c r="B166" s="174"/>
      <c r="C166" s="281"/>
      <c r="D166" s="277"/>
      <c r="E166" s="301"/>
      <c r="F166" s="301"/>
      <c r="G166" s="301"/>
      <c r="H166" s="301"/>
      <c r="I166" s="301"/>
      <c r="J166" s="301"/>
      <c r="K166" s="301"/>
      <c r="L166" s="301"/>
      <c r="M166" s="301"/>
      <c r="N166" s="301"/>
      <c r="O166" s="301"/>
      <c r="P166" s="1"/>
      <c r="T166" s="14"/>
      <c r="U166" s="396" t="s">
        <v>106</v>
      </c>
      <c r="V166" s="396"/>
      <c r="W166" s="396"/>
      <c r="X166" s="396"/>
      <c r="Y166" s="396"/>
      <c r="Z166" s="68"/>
      <c r="AA166" s="1"/>
      <c r="AB166" s="1">
        <f>IFERROR(IF('Mon Entreprise'!K8&gt;Annexes!U24,0,IF(AB152=TRUE,IF(AB157=0,0,IF(AB154&lt;AB157*0.2,ROUND(AB154,0),IF(AB157*0.2&gt;=200000,Annexes!S8,ROUND(AB157*0.2,0)))),IF(AB150="OUI",IF(AB155&gt;=0.7,IF(AB154&lt;AB157*0.2,ROUND(AB154,0),IF(AB157*0.2&gt;=200000,Annexes!S8,ROUND(AB157*0.2,0))),IF(AB155&gt;=0.5,IF(AB154&lt;AB157*0.15,ROUND(AB154,0),IF(AB157*0.15&gt;=200000,Annexes!S8,ROUND(AB157*0.15,0))),IF(AND(AB151="OUI",OR(AB147&gt;=0.8,AB148&gt;=0.8,AB149&gt;=0.1),AB155&gt;=0.7),IF(AB154&lt;AB157*0.2,ROUND(AB154,0),IF(AB157*0.2&gt;=200000,Annexes!S8,ROUND(AB157*0.2,0))),0))),IF(AND(AB151="OUI",OR(AB147&gt;=0.8,AB148&gt;=0.8,AB149&gt;=0.1),AB155&gt;=0.7),IF(AB154&lt;AB157*0.2,ROUND(AB154,0),IF(AB157*0.2&gt;=200000,Annexes!S8,ROUND(AB157*0.2,0))),0)))),0)</f>
        <v>0</v>
      </c>
      <c r="AC166" s="1"/>
      <c r="AD166" s="1"/>
      <c r="AE166" s="13"/>
    </row>
    <row r="167" spans="2:31" ht="16.5" customHeight="1">
      <c r="B167" s="174"/>
      <c r="C167" s="281"/>
      <c r="D167" s="301" t="str">
        <f>IFERROR(IF('Mon Entreprise'!K8&gt;=Annexes!S20,IF(AB131&gt;=AB133,"- Le CA de référence est celui de Décembre 2019, soit une perte de "&amp;ROUND(AB131,0)&amp;" €"&amp;" ==&gt; "&amp;ROUND(AE131*100,0)&amp;" %","- Le CA de référence est celui de la création, soit une perte de "&amp;ROUND(AB133,0)&amp;" €"&amp;" ==&gt; "&amp;ROUND(AE133*100,0)&amp;" %"),IF(AB131&gt;=AB132,"- Le CA de référence est celui de Décembre 2019, soit une perte de "&amp;ROUND(AB131,0)&amp;" €"&amp;" ==&gt; "&amp;ROUND(AE131*100,0)&amp;" %","- Le CA de référence est celui de l'exercice 2019, soit une perte de "&amp;ROUND(AB132,0)&amp;" €"&amp;" ==&gt; "&amp;ROUND(AE132*100,0)&amp;" %")),"")</f>
        <v>- Le CA de référence est celui de Décembre 2019, soit une perte de 0 € ==&gt; 0 %</v>
      </c>
      <c r="E167" s="301"/>
      <c r="F167" s="301"/>
      <c r="G167" s="301"/>
      <c r="H167" s="301"/>
      <c r="I167" s="301"/>
      <c r="J167" s="301"/>
      <c r="K167" s="301"/>
      <c r="L167" s="301"/>
      <c r="M167" s="301"/>
      <c r="N167" s="301"/>
      <c r="O167" s="301"/>
      <c r="P167" s="270"/>
      <c r="Q167" s="270"/>
      <c r="T167" s="14"/>
      <c r="U167" s="1"/>
      <c r="V167" s="1"/>
      <c r="W167" s="1"/>
      <c r="X167" s="1"/>
      <c r="Y167" s="1"/>
      <c r="Z167" s="1"/>
      <c r="AA167" s="1"/>
      <c r="AB167" s="1"/>
      <c r="AC167" s="1"/>
      <c r="AD167" s="1"/>
      <c r="AE167" s="13"/>
    </row>
    <row r="168" spans="2:31" ht="16.5" customHeight="1">
      <c r="B168" s="103"/>
      <c r="C168" s="281"/>
      <c r="D168" s="384" t="str">
        <f>IF(AB152=TRUE,"- L'entreprise peut bénéficier d'une aide de 20 % du CA de référence, plafonnée à 200 000 €",IF(AB150="OUI",IF(AB155&gt;=0.7,"- L'entreprise peut bénéficier d'une aide de 20 % du CA de référence, plafonnée à 200 000 €",IF(AB155&gt;=0.5,"- L'entreprise peut bénéficier d'une aide de 15 % du CA de référence, plafonnée à 200 000 €","- L'entreprise n'a subi ni de fermeture administrative au mois de Décembre, ni de perte d'au moins 50 % de son CA")),IF(AND(AB151="OUI",OR(AB147&gt;=0.8,AB148&gt;=0.8,AB149&gt;=0.1),AB155&gt;=0.7),"-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8" s="384"/>
      <c r="F168" s="384"/>
      <c r="G168" s="384"/>
      <c r="H168" s="384"/>
      <c r="I168" s="384"/>
      <c r="J168" s="384"/>
      <c r="K168" s="384"/>
      <c r="L168" s="384"/>
      <c r="M168" s="384"/>
      <c r="N168" s="384"/>
      <c r="O168" s="384"/>
      <c r="P168" s="270"/>
      <c r="Q168" s="270"/>
      <c r="T168" s="14"/>
      <c r="U168" s="1"/>
      <c r="V168" s="1"/>
      <c r="W168" s="1"/>
      <c r="X168" s="1"/>
      <c r="Y168" s="1"/>
      <c r="Z168" s="1"/>
      <c r="AA168" s="1"/>
      <c r="AB168" s="1"/>
      <c r="AC168" s="1"/>
      <c r="AD168" s="1"/>
      <c r="AE168" s="13"/>
    </row>
    <row r="169" spans="2:31" ht="16.5" customHeight="1">
      <c r="B169" s="169"/>
      <c r="C169" s="281"/>
      <c r="D169" s="384"/>
      <c r="E169" s="384"/>
      <c r="F169" s="384"/>
      <c r="G169" s="384"/>
      <c r="H169" s="384"/>
      <c r="I169" s="384"/>
      <c r="J169" s="384"/>
      <c r="K169" s="384"/>
      <c r="L169" s="384"/>
      <c r="M169" s="384"/>
      <c r="N169" s="384"/>
      <c r="O169" s="384"/>
      <c r="P169" s="270"/>
      <c r="Q169" s="270"/>
      <c r="T169" s="14"/>
      <c r="U169" s="1"/>
      <c r="V169" s="1"/>
      <c r="W169" s="1"/>
      <c r="X169" s="1"/>
      <c r="Y169" s="1"/>
      <c r="Z169" s="1"/>
      <c r="AA169" s="1"/>
      <c r="AB169" s="1"/>
      <c r="AC169" s="1"/>
      <c r="AD169" s="1"/>
      <c r="AE169" s="13"/>
    </row>
    <row r="170" spans="2:31" ht="16.5" customHeight="1" thickBot="1">
      <c r="B170" s="169"/>
      <c r="C170" s="281"/>
      <c r="D170" s="207"/>
      <c r="E170" s="270"/>
      <c r="F170" s="270"/>
      <c r="G170" s="270"/>
      <c r="H170" s="270"/>
      <c r="I170" s="270"/>
      <c r="J170" s="270"/>
      <c r="K170" s="270"/>
      <c r="L170" s="270"/>
      <c r="M170" s="270"/>
      <c r="N170" s="270"/>
      <c r="O170" s="270"/>
      <c r="P170" s="270"/>
      <c r="Q170" s="270"/>
      <c r="T170" s="14"/>
      <c r="U170" s="1"/>
      <c r="V170" s="1"/>
      <c r="W170" s="1"/>
      <c r="X170" s="1"/>
      <c r="Y170" s="1"/>
      <c r="Z170" s="1"/>
      <c r="AA170" s="1"/>
      <c r="AB170" s="1"/>
      <c r="AC170" s="1"/>
      <c r="AD170" s="1"/>
      <c r="AE170" s="13"/>
    </row>
    <row r="171" spans="2:31" ht="16.5" customHeight="1">
      <c r="B171" s="103"/>
      <c r="C171" s="181"/>
      <c r="D171" s="409" t="str">
        <f>IFERROR(IF('Mon Entreprise'!K8&gt;Annexes!U24,"Vous avez débuté votre activité après le 30 Septembre 2020, vous ne pouvez donc pas bénéficier de cette aide",IF(AB152=TRUE,IF(AB157=0,"Vous n'avez pas indiqué de chiffre d'affaires de référence",IF(AB154&lt;AB157*0.2,"Dans votre cas, la perte est inférieure à 20 % du CA, l'aide est donc plafonnée à la perte, soit "&amp;ROUND(AB154,0)&amp;" € pour le mois de Décembre",IF(AB157*0.2&gt;=200000,"Dans votre cas, l'aide est plafonnée, à "&amp;Annexes!S8&amp;" € pour le mois de Décembre","Vous pouvez bénéficier, au titre de cette aide, d'un montant de "&amp;ROUND(AB157*0.2,0)&amp;" € pour le mois de Décembre"))),IF(AB150="OUI",IF(AB155&gt;=0.7,IF(AB154&lt;AB157*0.2,"Dans votre cas, la perte est inférieure à 20 % du CA, l'aide est donc plafonnée à la perte, soit "&amp;ROUND(AB154,0)&amp;" € pour le mois de Décembre",IF(AB157*0.2&gt;=200000,"Dans votre cas, l'aide est plafonnée, à "&amp;Annexes!S8&amp;" € pour le mois de Décembre","Vous pouvez bénéficier, au titre de cette aide, d'un montant de "&amp;ROUND(AB157*0.2,0)&amp;" € pour le mois de Décembre")),IF(AB155&gt;=0.5,IF(AB154&lt;AB157*0.15,"Dans votre cas, la perte est inférieure à 15 % du CA, l'aide est donc plafonnée à la perte, soit "&amp;ROUND(AB154,0)&amp;" € pour le mois de Décembre",IF(AB157*0.15&gt;=200000,"Dans votre cas, l'aide est plafonnée, à "&amp;Annexes!S8&amp;" € pour le mois de Décembre","Vous pouvez bénéficier, au titre de cette aide, d'un montant de "&amp;ROUND(AB157*0.15,0)&amp;" € pour le mois de Décembre")),IF(AND(AB151="OUI",OR(AB147&gt;=0.8,AB148&gt;=0.8,AB149&gt;=0.1),AB155&gt;=0.7),IF(AB154&lt;AB157*0.2,"Dans votre cas, la perte est inférieure à 20 % du CA, l'aide est donc plafonnée à la perte, soit "&amp;ROUND(AB154,0)&amp;" € pour le mois de Décembre"&amp;IF(AND(AB151="OUI",AB166&gt;AB165,AB166&gt;AB164)," *",""),IF(AB157*0.2&gt;=200000,"Dans votre cas, l'aide est plafonnée, à "&amp;Annexes!S8&amp;" € pour le mois de Décembre"&amp;IF(AND(AB151="OUI",AB166&gt;AB165,AB166&gt;AB164)," *",""),"Vous pouvez bénéficier, au titre de cette aide, d'un montant de "&amp;ROUND(AB157*0.2,0)&amp;" € pour le mois de Décembre"&amp;IF(AND(AB151="OUI",AB166&gt;AB165,AB166&gt;AB164)," *",""))),"L'entreprise ne fait ni partie des fermetures administratives au mois de Décembre, ni des activités mentionnées en annexe 1 (S1) avec 50 % de perte en Décembre ou en annexe 2 (S1 bis) ou 3 avec 70 % de Perte en Décembre"))),IF(AND(AB151="OUI",OR(AB147&gt;=0.8,AB148&gt;=0.8,AB149&gt;=0.1),AB155&gt;=0.7),IF(AB154&lt;AB157*0.2,"Dans votre cas, la perte est inférieure à 20 % du CA, l'aide est donc plafonnée à la perte, soit "&amp;ROUND(AB154,0)&amp;" € pour le mois de Décembre"&amp;IF(AND(AB151="OUI",AB166&gt;AB165,AB166&gt;AB164)," *",""),IF(AB157*0.2&gt;=200000,"Dans votre cas, l'aide est plafonnée, à "&amp;Annexes!S8&amp;" € pour le mois de Décembre"&amp;IF(AND(AB151="OUI",AB166&gt;AB165,AB166&gt;AB164)," *",""),"Vous pouvez bénéficier, au titre de cette aide, d'un montant de "&amp;ROUND(AB157*0.2,0)&amp;" € pour le mois de Décembre"&amp;IF(AND(AB151="OUI",AB166&gt;AB165,AB166&gt;AB164),"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71" s="401"/>
      <c r="F171" s="401"/>
      <c r="G171" s="401"/>
      <c r="H171" s="401"/>
      <c r="I171" s="401"/>
      <c r="J171" s="401"/>
      <c r="K171" s="401"/>
      <c r="L171" s="401"/>
      <c r="M171" s="401"/>
      <c r="N171" s="401"/>
      <c r="O171" s="402"/>
      <c r="P171" s="270"/>
      <c r="Q171" s="270"/>
      <c r="T171" s="14"/>
      <c r="U171" s="1"/>
      <c r="V171" s="1"/>
      <c r="W171" s="1"/>
      <c r="X171" s="1"/>
      <c r="Y171" s="1"/>
      <c r="Z171" s="1"/>
      <c r="AA171" s="1"/>
      <c r="AB171" s="1"/>
      <c r="AC171" s="1"/>
      <c r="AD171" s="1"/>
      <c r="AE171" s="13"/>
    </row>
    <row r="172" spans="2:31" ht="16.5" customHeight="1">
      <c r="B172" s="103"/>
      <c r="C172" s="181"/>
      <c r="D172" s="403"/>
      <c r="E172" s="404"/>
      <c r="F172" s="404"/>
      <c r="G172" s="404"/>
      <c r="H172" s="404"/>
      <c r="I172" s="404"/>
      <c r="J172" s="404"/>
      <c r="K172" s="404"/>
      <c r="L172" s="404"/>
      <c r="M172" s="404"/>
      <c r="N172" s="404"/>
      <c r="O172" s="405"/>
      <c r="P172" s="270"/>
      <c r="Q172" s="270"/>
      <c r="T172" s="14"/>
      <c r="U172" s="1"/>
      <c r="V172" s="1"/>
      <c r="W172" s="1"/>
      <c r="X172" s="1"/>
      <c r="Y172" s="1"/>
      <c r="Z172" s="1"/>
      <c r="AA172" s="1"/>
      <c r="AB172" s="1"/>
      <c r="AC172" s="1"/>
      <c r="AD172" s="1"/>
      <c r="AE172" s="13"/>
    </row>
    <row r="173" spans="2:31" ht="16.5" customHeight="1">
      <c r="B173" s="103"/>
      <c r="C173" s="181"/>
      <c r="D173" s="403"/>
      <c r="E173" s="404"/>
      <c r="F173" s="404"/>
      <c r="G173" s="404"/>
      <c r="H173" s="404"/>
      <c r="I173" s="404"/>
      <c r="J173" s="404"/>
      <c r="K173" s="404"/>
      <c r="L173" s="404"/>
      <c r="M173" s="404"/>
      <c r="N173" s="404"/>
      <c r="O173" s="405"/>
      <c r="P173" s="176"/>
      <c r="Q173" s="176"/>
      <c r="T173" s="14"/>
      <c r="U173" s="1"/>
      <c r="V173" s="1"/>
      <c r="W173" s="1"/>
      <c r="X173" s="1"/>
      <c r="Y173" s="1"/>
      <c r="Z173" s="1"/>
      <c r="AA173" s="1"/>
      <c r="AB173" s="1"/>
      <c r="AC173" s="1"/>
      <c r="AD173" s="1"/>
      <c r="AE173" s="13"/>
    </row>
    <row r="174" spans="2:31" ht="16.5" thickBot="1">
      <c r="B174" s="103"/>
      <c r="C174" s="181"/>
      <c r="D174" s="406"/>
      <c r="E174" s="407"/>
      <c r="F174" s="407"/>
      <c r="G174" s="407"/>
      <c r="H174" s="407"/>
      <c r="I174" s="407"/>
      <c r="J174" s="407"/>
      <c r="K174" s="407"/>
      <c r="L174" s="407"/>
      <c r="M174" s="407"/>
      <c r="N174" s="407"/>
      <c r="O174" s="408"/>
      <c r="T174" s="14"/>
      <c r="U174" s="1"/>
      <c r="V174" s="1"/>
      <c r="W174" s="1"/>
      <c r="X174" s="1"/>
      <c r="Y174" s="1"/>
      <c r="Z174" s="1"/>
      <c r="AA174" s="1"/>
      <c r="AB174" s="1"/>
      <c r="AC174" s="1"/>
      <c r="AD174" s="1"/>
      <c r="AE174" s="13"/>
    </row>
    <row r="175" spans="2:31" ht="31.5" customHeight="1">
      <c r="B175" s="103"/>
      <c r="C175" s="281"/>
      <c r="D175" s="381" t="str">
        <f>IF(AND(AB151="OUI",AB166&gt;AB165,AB166&gt;AB164),"* Le cas échéant, l’aide perçue au titre de l’Art. 3-15 ou 3-16, si elle a déjà été demandée, vient en diminution de la présente aide complémentaire au titre de l'Art. 3-17 ou 3-18 du décret 2021-79 du 28 Janvier 2021","")</f>
        <v/>
      </c>
      <c r="E175" s="381"/>
      <c r="F175" s="381"/>
      <c r="G175" s="381"/>
      <c r="H175" s="381"/>
      <c r="I175" s="381"/>
      <c r="J175" s="381"/>
      <c r="K175" s="381"/>
      <c r="L175" s="381"/>
      <c r="M175" s="381"/>
      <c r="N175" s="381"/>
      <c r="O175" s="381"/>
      <c r="P175" s="177"/>
      <c r="Q175" s="177"/>
      <c r="T175" s="14"/>
      <c r="U175" s="1"/>
      <c r="V175" s="1"/>
      <c r="W175" s="1"/>
      <c r="X175" s="1"/>
      <c r="Y175" s="1"/>
      <c r="Z175" s="1"/>
      <c r="AA175" s="1"/>
      <c r="AB175" s="1"/>
      <c r="AC175" s="1"/>
      <c r="AD175" s="1"/>
      <c r="AE175" s="13"/>
    </row>
    <row r="176" spans="2:31" hidden="1">
      <c r="B176" s="5"/>
      <c r="C176" s="5"/>
      <c r="D176" s="283"/>
      <c r="E176" s="283"/>
      <c r="F176" s="283"/>
      <c r="G176" s="283"/>
      <c r="H176" s="283"/>
      <c r="I176" s="283"/>
      <c r="J176" s="283"/>
      <c r="K176" s="283"/>
      <c r="L176" s="283"/>
      <c r="M176" s="283"/>
      <c r="N176" s="283"/>
      <c r="O176" s="283"/>
      <c r="P176" s="178"/>
      <c r="Q176" s="178"/>
      <c r="T176" s="14"/>
      <c r="U176" s="1"/>
      <c r="V176" s="1"/>
      <c r="W176" s="1"/>
      <c r="X176" s="1"/>
      <c r="Y176" s="1"/>
      <c r="Z176" s="1"/>
      <c r="AA176" s="1"/>
      <c r="AB176" s="1"/>
      <c r="AC176" s="1"/>
      <c r="AD176" s="1"/>
      <c r="AE176" s="13"/>
    </row>
    <row r="177" spans="2:31" hidden="1">
      <c r="B177" s="5"/>
      <c r="C177" s="5"/>
      <c r="D177" s="261"/>
      <c r="E177" s="261"/>
      <c r="F177" s="261"/>
      <c r="G177" s="261"/>
      <c r="H177" s="261"/>
      <c r="I177" s="261"/>
      <c r="J177" s="261"/>
      <c r="K177" s="261"/>
      <c r="L177" s="261"/>
      <c r="M177" s="261"/>
      <c r="N177" s="261"/>
      <c r="O177" s="261"/>
      <c r="P177" s="178"/>
      <c r="Q177" s="178"/>
      <c r="T177" s="14"/>
      <c r="U177" s="1"/>
      <c r="V177" s="1"/>
      <c r="W177" s="1"/>
      <c r="X177" s="1"/>
      <c r="Y177" s="1"/>
      <c r="Z177" s="1"/>
      <c r="AA177" s="1"/>
      <c r="AB177" s="1"/>
      <c r="AC177" s="1"/>
      <c r="AD177" s="1"/>
      <c r="AE177" s="13"/>
    </row>
    <row r="178" spans="2:31" hidden="1">
      <c r="B178" s="5"/>
      <c r="C178" s="5"/>
      <c r="D178" s="261"/>
      <c r="E178" s="261"/>
      <c r="F178" s="261"/>
      <c r="G178" s="261"/>
      <c r="H178" s="261"/>
      <c r="I178" s="261"/>
      <c r="J178" s="261"/>
      <c r="K178" s="261"/>
      <c r="L178" s="261"/>
      <c r="M178" s="261"/>
      <c r="N178" s="261"/>
      <c r="O178" s="261"/>
      <c r="P178" s="178"/>
      <c r="Q178" s="178"/>
      <c r="T178" s="14"/>
      <c r="U178" s="1"/>
      <c r="V178" s="1"/>
      <c r="W178" s="1"/>
      <c r="X178" s="1"/>
      <c r="Y178" s="1"/>
      <c r="Z178" s="1"/>
      <c r="AA178" s="1"/>
      <c r="AB178" s="1"/>
      <c r="AC178" s="1"/>
      <c r="AD178" s="1"/>
      <c r="AE178" s="13"/>
    </row>
    <row r="179" spans="2:31" ht="15.75" thickBot="1">
      <c r="B179" s="223"/>
      <c r="C179" s="223"/>
      <c r="D179" s="224"/>
      <c r="E179" s="224"/>
      <c r="F179" s="224"/>
      <c r="G179" s="224"/>
      <c r="H179" s="224"/>
      <c r="I179" s="224"/>
      <c r="J179" s="224"/>
      <c r="K179" s="224"/>
      <c r="L179" s="224"/>
      <c r="M179" s="224"/>
      <c r="N179" s="224"/>
      <c r="O179" s="224"/>
      <c r="P179" s="178"/>
      <c r="Q179" s="178"/>
      <c r="T179" s="14"/>
      <c r="U179" s="1"/>
      <c r="V179" s="1"/>
      <c r="W179" s="1"/>
      <c r="X179" s="1"/>
      <c r="Y179" s="1"/>
      <c r="Z179" s="1"/>
      <c r="AA179" s="1"/>
      <c r="AB179" s="1"/>
      <c r="AC179" s="1"/>
      <c r="AD179" s="1"/>
      <c r="AE179" s="13"/>
    </row>
    <row r="180" spans="2:31">
      <c r="B180" s="382">
        <v>2021</v>
      </c>
      <c r="C180" s="382"/>
      <c r="D180" s="382"/>
      <c r="E180" s="382"/>
      <c r="F180" s="382"/>
      <c r="G180" s="382"/>
      <c r="H180" s="382"/>
      <c r="I180" s="382"/>
      <c r="J180" s="382"/>
      <c r="K180" s="382"/>
      <c r="L180" s="382"/>
      <c r="M180" s="382"/>
      <c r="N180" s="382"/>
      <c r="O180" s="382"/>
      <c r="P180" s="178"/>
      <c r="Q180" s="178"/>
      <c r="T180" s="14"/>
      <c r="U180" s="1"/>
      <c r="V180" s="1"/>
      <c r="W180" s="1"/>
      <c r="X180" s="1"/>
      <c r="Y180" s="1"/>
      <c r="Z180" s="1"/>
      <c r="AA180" s="1"/>
      <c r="AB180" s="1"/>
      <c r="AC180" s="1"/>
      <c r="AD180" s="1"/>
      <c r="AE180" s="13"/>
    </row>
    <row r="181" spans="2:31" ht="15.75" thickBot="1">
      <c r="B181" s="383"/>
      <c r="C181" s="383"/>
      <c r="D181" s="383"/>
      <c r="E181" s="383"/>
      <c r="F181" s="383"/>
      <c r="G181" s="383"/>
      <c r="H181" s="383"/>
      <c r="I181" s="383"/>
      <c r="J181" s="383"/>
      <c r="K181" s="383"/>
      <c r="L181" s="383"/>
      <c r="M181" s="383"/>
      <c r="N181" s="383"/>
      <c r="O181" s="383"/>
      <c r="P181" s="178"/>
      <c r="Q181" s="178"/>
      <c r="T181" s="14"/>
      <c r="U181" s="1"/>
      <c r="V181" s="1"/>
      <c r="W181" s="1"/>
      <c r="X181" s="1"/>
      <c r="Y181" s="1"/>
      <c r="Z181" s="1"/>
      <c r="AA181" s="1"/>
      <c r="AB181" s="1"/>
      <c r="AC181" s="1"/>
      <c r="AD181" s="1"/>
      <c r="AE181" s="13"/>
    </row>
    <row r="182" spans="2:31">
      <c r="D182" s="178"/>
      <c r="E182" s="178"/>
      <c r="F182" s="178"/>
      <c r="G182" s="178"/>
      <c r="H182" s="178"/>
      <c r="I182" s="178"/>
      <c r="J182" s="178"/>
      <c r="K182" s="178"/>
      <c r="L182" s="178"/>
      <c r="M182" s="178"/>
      <c r="N182" s="178"/>
      <c r="O182" s="178"/>
      <c r="P182" s="176"/>
      <c r="Q182" s="176"/>
      <c r="T182" s="14"/>
      <c r="U182" s="1"/>
      <c r="V182" s="1"/>
      <c r="W182" s="1"/>
      <c r="X182" s="1"/>
      <c r="Y182" s="1"/>
      <c r="Z182" s="1"/>
      <c r="AA182" s="1"/>
      <c r="AB182" s="1"/>
      <c r="AC182" s="1"/>
      <c r="AD182" s="1"/>
      <c r="AE182" s="13"/>
    </row>
    <row r="183" spans="2:31">
      <c r="D183" s="178"/>
      <c r="E183" s="178"/>
      <c r="F183" s="178"/>
      <c r="G183" s="178"/>
      <c r="H183" s="178"/>
      <c r="I183" s="178"/>
      <c r="J183" s="178"/>
      <c r="K183" s="178"/>
      <c r="L183" s="178"/>
      <c r="M183" s="178"/>
      <c r="N183" s="178"/>
      <c r="O183" s="178"/>
      <c r="P183" s="176"/>
      <c r="Q183" s="176"/>
      <c r="T183" s="14"/>
      <c r="U183" s="1"/>
      <c r="V183" s="1"/>
      <c r="W183" s="1"/>
      <c r="X183" s="1"/>
      <c r="Y183" s="1"/>
      <c r="Z183" s="1"/>
      <c r="AA183" s="1"/>
      <c r="AB183" s="1"/>
      <c r="AC183" s="1"/>
      <c r="AD183" s="1"/>
      <c r="AE183" s="13"/>
    </row>
    <row r="184" spans="2:31" ht="15" customHeight="1" thickBot="1">
      <c r="B184" s="225"/>
      <c r="C184" s="414" t="s">
        <v>126</v>
      </c>
      <c r="D184" s="414"/>
      <c r="E184" s="414"/>
      <c r="F184" s="414"/>
      <c r="G184" s="414"/>
      <c r="H184" s="414"/>
      <c r="I184" s="226"/>
      <c r="J184" s="226"/>
      <c r="K184" s="226"/>
      <c r="L184" s="226"/>
      <c r="M184" s="226"/>
      <c r="N184" s="226"/>
      <c r="O184" s="226"/>
      <c r="T184" s="15"/>
      <c r="U184" s="10"/>
      <c r="V184" s="10"/>
      <c r="W184" s="10"/>
      <c r="X184" s="10"/>
      <c r="Y184" s="10"/>
      <c r="Z184" s="10"/>
      <c r="AA184" s="10"/>
      <c r="AB184" s="10"/>
      <c r="AC184" s="10"/>
      <c r="AD184" s="10"/>
      <c r="AE184" s="4"/>
    </row>
    <row r="185" spans="2:31" ht="15" customHeight="1">
      <c r="B185" s="63"/>
      <c r="C185" s="24"/>
      <c r="D185" s="24"/>
      <c r="E185" s="24"/>
      <c r="F185" s="24"/>
      <c r="G185" s="24"/>
      <c r="H185" s="63"/>
      <c r="I185" s="1"/>
      <c r="J185" s="1"/>
      <c r="K185" s="1"/>
      <c r="L185" s="1"/>
      <c r="M185" s="1"/>
      <c r="N185" s="1"/>
      <c r="O185" s="1"/>
      <c r="T185" s="16"/>
      <c r="U185" s="11"/>
      <c r="V185" s="11"/>
      <c r="W185" s="11"/>
      <c r="X185" s="11"/>
      <c r="Y185" s="11"/>
      <c r="Z185" s="11"/>
      <c r="AA185" s="11"/>
      <c r="AB185" s="11"/>
      <c r="AC185" s="11"/>
      <c r="AD185" s="11"/>
      <c r="AE185" s="12"/>
    </row>
    <row r="186" spans="2:31" ht="15.75" customHeight="1">
      <c r="B186" s="103"/>
      <c r="C186" s="385" t="s">
        <v>129</v>
      </c>
      <c r="D186" s="385"/>
      <c r="E186" s="385"/>
      <c r="F186" s="385"/>
      <c r="G186" s="385"/>
      <c r="H186" s="385"/>
      <c r="I186" s="385"/>
      <c r="J186" s="385"/>
      <c r="K186" s="385"/>
      <c r="L186" s="385"/>
      <c r="M186" s="385"/>
      <c r="N186" s="385"/>
      <c r="O186" s="385"/>
      <c r="P186" s="1"/>
      <c r="T186" s="14"/>
      <c r="U186" s="1"/>
      <c r="V186" s="1"/>
      <c r="W186" s="1"/>
      <c r="X186" s="1"/>
      <c r="Y186" s="1"/>
      <c r="Z186" s="1"/>
      <c r="AA186" s="1"/>
      <c r="AB186" s="1"/>
      <c r="AC186" s="1"/>
      <c r="AD186" s="1"/>
      <c r="AE186" s="13"/>
    </row>
    <row r="187" spans="2:31" ht="15.75">
      <c r="B187" s="103"/>
      <c r="C187" s="281"/>
      <c r="D187" s="60" t="s">
        <v>130</v>
      </c>
      <c r="E187" s="281"/>
      <c r="F187" s="281"/>
      <c r="G187" s="281"/>
      <c r="H187" s="281"/>
      <c r="I187" s="281"/>
      <c r="J187" s="281"/>
      <c r="K187" s="281"/>
      <c r="L187" s="281"/>
      <c r="M187" s="281"/>
      <c r="N187" s="281"/>
      <c r="O187" s="281"/>
      <c r="P187" s="1"/>
      <c r="T187" s="25"/>
      <c r="U187" s="379" t="s">
        <v>20</v>
      </c>
      <c r="V187" s="379"/>
      <c r="W187" s="379"/>
      <c r="X187" s="1"/>
      <c r="Y187" s="282" t="s">
        <v>6</v>
      </c>
      <c r="Z187" s="282"/>
      <c r="AA187" s="282"/>
      <c r="AB187" s="282" t="s">
        <v>23</v>
      </c>
      <c r="AC187" s="282"/>
      <c r="AD187" s="282"/>
      <c r="AE187" s="26" t="s">
        <v>24</v>
      </c>
    </row>
    <row r="188" spans="2:31" ht="16.5" hidden="1" thickBot="1">
      <c r="B188" s="103"/>
      <c r="C188" s="281"/>
      <c r="D188" s="60"/>
      <c r="E188" s="281"/>
      <c r="F188" s="281"/>
      <c r="G188" s="281"/>
      <c r="H188" s="281"/>
      <c r="I188" s="281"/>
      <c r="J188" s="281"/>
      <c r="K188" s="281"/>
      <c r="L188" s="281"/>
      <c r="M188" s="281"/>
      <c r="N188" s="281"/>
      <c r="O188" s="281"/>
      <c r="P188" s="1"/>
      <c r="T188" s="25"/>
      <c r="U188" s="282"/>
      <c r="V188" s="282"/>
      <c r="W188" s="282"/>
      <c r="X188" s="1"/>
      <c r="Y188" s="282"/>
      <c r="Z188" s="282"/>
      <c r="AA188" s="282"/>
      <c r="AB188" s="282"/>
      <c r="AC188" s="282"/>
      <c r="AD188" s="282"/>
      <c r="AE188" s="26"/>
    </row>
    <row r="189" spans="2:31" ht="15.75" hidden="1" customHeight="1">
      <c r="B189" s="103"/>
      <c r="C189" s="281"/>
      <c r="D189" s="386" t="str">
        <f>IFERROR(IF(AND(AB223=0,AB224=0,AB225=0),"Vous ne pouvez pas bénéficier du fonds de solidarité pour le mois de Janvier 2021",IF(AND(AB225&gt;AB224,AB225&gt;AB223),"Votre entreprise peut bénéficier d'une aide de "&amp;AB225&amp;" €, au titre d'une fermeture Administrative, ou d'une perte d'au moins 50 % ou 70 % du CA pour les activités mentionnées en annexe 1, ou d'une perte d'au moins 70 % du CA pour les activités mentionnées en annexe 2 ou 3",IF(AB224&gt;AB223,"Votre entreprise peut bénéficier d'une aide de "&amp;AB224&amp;"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"&amp;AB223&amp;" €, au titre d'une perte d'au-moins 50 % de votre CA en Janvier 2021"))),"Vous n'avez pas indiqué de chiffre d'affaires de référence")</f>
        <v>Vous ne pouvez pas bénéficier du fonds de solidarité pour le mois de Janvier 2021</v>
      </c>
      <c r="E189" s="387"/>
      <c r="F189" s="387"/>
      <c r="G189" s="387"/>
      <c r="H189" s="387"/>
      <c r="I189" s="387"/>
      <c r="J189" s="387"/>
      <c r="K189" s="387"/>
      <c r="L189" s="387"/>
      <c r="M189" s="387"/>
      <c r="N189" s="387"/>
      <c r="O189" s="388"/>
      <c r="P189" s="1"/>
      <c r="T189" s="378" t="s">
        <v>128</v>
      </c>
      <c r="U189" s="379"/>
      <c r="V189" s="379"/>
      <c r="W189" s="379"/>
      <c r="X189" s="1"/>
      <c r="Y189" s="7">
        <f>'Mon Entreprise'!I87</f>
        <v>0</v>
      </c>
      <c r="Z189" s="133"/>
      <c r="AA189" s="21"/>
      <c r="AB189" s="7">
        <f>IF('Mon Entreprise'!I87-'Mon Entreprise'!M87&lt;0,0,'Mon Entreprise'!I87-'Mon Entreprise'!M87)</f>
        <v>0</v>
      </c>
      <c r="AC189" s="13"/>
      <c r="AD189" s="1"/>
      <c r="AE189" s="27">
        <f>IFERROR(1-'Mon Entreprise'!M87/'Mon Entreprise'!I87,0)</f>
        <v>0</v>
      </c>
    </row>
    <row r="190" spans="2:31" ht="15.75" hidden="1" customHeight="1">
      <c r="B190" s="103"/>
      <c r="C190" s="281"/>
      <c r="D190" s="389"/>
      <c r="E190" s="390"/>
      <c r="F190" s="390"/>
      <c r="G190" s="390"/>
      <c r="H190" s="390"/>
      <c r="I190" s="390"/>
      <c r="J190" s="390"/>
      <c r="K190" s="390"/>
      <c r="L190" s="390"/>
      <c r="M190" s="390"/>
      <c r="N190" s="390"/>
      <c r="O190" s="391"/>
      <c r="P190" s="1"/>
      <c r="T190" s="378" t="s">
        <v>25</v>
      </c>
      <c r="U190" s="379"/>
      <c r="V190" s="379"/>
      <c r="W190" s="379"/>
      <c r="X190" s="1"/>
      <c r="Y190" s="7">
        <f>'Mon Entreprise'!I63</f>
        <v>0</v>
      </c>
      <c r="Z190" s="133"/>
      <c r="AA190" s="21"/>
      <c r="AB190" s="7">
        <f>IF('Mon Entreprise'!I63-'Mon Entreprise'!M87&lt;0,0,'Mon Entreprise'!I63-'Mon Entreprise'!M87)</f>
        <v>0</v>
      </c>
      <c r="AC190" s="36"/>
      <c r="AD190" s="1"/>
      <c r="AE190" s="27">
        <f>IFERROR(1-'Mon Entreprise'!M87/'Mon Entreprise'!I63,0)</f>
        <v>0</v>
      </c>
    </row>
    <row r="191" spans="2:31" ht="15.75" hidden="1" customHeight="1">
      <c r="B191" s="103"/>
      <c r="C191" s="281"/>
      <c r="D191" s="389"/>
      <c r="E191" s="390"/>
      <c r="F191" s="390"/>
      <c r="G191" s="390"/>
      <c r="H191" s="390"/>
      <c r="I191" s="390"/>
      <c r="J191" s="390"/>
      <c r="K191" s="390"/>
      <c r="L191" s="390"/>
      <c r="M191" s="390"/>
      <c r="N191" s="390"/>
      <c r="O191" s="391"/>
      <c r="P191" s="1"/>
      <c r="T191" s="395" t="s">
        <v>22</v>
      </c>
      <c r="U191" s="396"/>
      <c r="V191" s="396"/>
      <c r="W191" s="396"/>
      <c r="X191" s="139"/>
      <c r="Y191" s="140" t="str">
        <f>IF('Mon Entreprise'!I98="","NC",'Mon Entreprise'!I98)</f>
        <v>NC</v>
      </c>
      <c r="Z191" s="193"/>
      <c r="AA191" s="194"/>
      <c r="AB191" s="143" t="str">
        <f>IFERROR(IF('Mon Entreprise'!I98-'Mon Entreprise'!M87&lt;0,0,'Mon Entreprise'!I98-'Mon Entreprise'!M87),"NC")</f>
        <v>NC</v>
      </c>
      <c r="AC191" s="195"/>
      <c r="AD191" s="139"/>
      <c r="AE191" s="146" t="str">
        <f>IFERROR(1-'Mon Entreprise'!M87/'Mon Entreprise'!I98,"NC")</f>
        <v>NC</v>
      </c>
    </row>
    <row r="192" spans="2:31" ht="15.75" hidden="1" customHeight="1">
      <c r="B192" s="103"/>
      <c r="C192" s="281"/>
      <c r="D192" s="389"/>
      <c r="E192" s="390"/>
      <c r="F192" s="390"/>
      <c r="G192" s="390"/>
      <c r="H192" s="390"/>
      <c r="I192" s="390"/>
      <c r="J192" s="390"/>
      <c r="K192" s="390"/>
      <c r="L192" s="390"/>
      <c r="M192" s="390"/>
      <c r="N192" s="390"/>
      <c r="O192" s="391"/>
      <c r="P192" s="1"/>
      <c r="T192" s="14"/>
      <c r="U192" s="1"/>
      <c r="V192" s="1"/>
      <c r="W192" s="1"/>
      <c r="X192" s="1"/>
      <c r="Y192" s="1"/>
      <c r="Z192" s="1"/>
      <c r="AA192" s="1"/>
      <c r="AB192" s="1"/>
      <c r="AC192" s="1"/>
      <c r="AD192" s="1"/>
      <c r="AE192" s="13"/>
    </row>
    <row r="193" spans="2:31" ht="16.5" hidden="1" customHeight="1" thickBot="1">
      <c r="B193" s="103"/>
      <c r="C193" s="281"/>
      <c r="D193" s="392"/>
      <c r="E193" s="393"/>
      <c r="F193" s="393"/>
      <c r="G193" s="393"/>
      <c r="H193" s="393"/>
      <c r="I193" s="393"/>
      <c r="J193" s="393"/>
      <c r="K193" s="393"/>
      <c r="L193" s="393"/>
      <c r="M193" s="393"/>
      <c r="N193" s="393"/>
      <c r="O193" s="394"/>
      <c r="P193" s="1"/>
      <c r="T193" s="14"/>
      <c r="AC193" s="1"/>
      <c r="AD193" s="1"/>
      <c r="AE193" s="13"/>
    </row>
    <row r="194" spans="2:31" ht="15.75" hidden="1">
      <c r="B194" s="103"/>
      <c r="C194" s="281"/>
      <c r="D194" s="60"/>
      <c r="E194" s="281"/>
      <c r="F194" s="281"/>
      <c r="G194" s="281"/>
      <c r="H194" s="281"/>
      <c r="I194" s="281"/>
      <c r="J194" s="281"/>
      <c r="K194" s="281"/>
      <c r="L194" s="281"/>
      <c r="M194" s="281"/>
      <c r="N194" s="281"/>
      <c r="O194" s="281"/>
      <c r="P194" s="1"/>
      <c r="T194" s="14"/>
      <c r="AC194" s="1"/>
      <c r="AD194" s="1"/>
      <c r="AE194" s="13"/>
    </row>
    <row r="195" spans="2:31" ht="15.75">
      <c r="B195" s="103"/>
      <c r="C195" s="78"/>
      <c r="D195" s="78"/>
      <c r="E195" s="78"/>
      <c r="F195" s="78"/>
      <c r="G195" s="78"/>
      <c r="H195" s="78"/>
      <c r="I195" s="78"/>
      <c r="J195" s="78"/>
      <c r="K195" s="78"/>
      <c r="L195" s="78"/>
      <c r="M195" s="78"/>
      <c r="N195" s="78"/>
      <c r="O195" s="78"/>
      <c r="P195" s="1"/>
      <c r="T195" s="14"/>
      <c r="AC195" s="1"/>
      <c r="AD195" s="1"/>
      <c r="AE195" s="13"/>
    </row>
    <row r="196" spans="2:31" ht="15.75">
      <c r="B196" s="103"/>
      <c r="C196" s="281"/>
      <c r="D196" s="60"/>
      <c r="E196" s="281"/>
      <c r="F196" s="281"/>
      <c r="G196" s="281"/>
      <c r="H196" s="281"/>
      <c r="I196" s="281"/>
      <c r="J196" s="281"/>
      <c r="K196" s="281"/>
      <c r="L196" s="281"/>
      <c r="M196" s="281"/>
      <c r="N196" s="281"/>
      <c r="O196" s="281"/>
      <c r="P196" s="1"/>
      <c r="T196" s="14"/>
      <c r="U196" s="1"/>
      <c r="V196" s="1"/>
      <c r="W196" s="1"/>
      <c r="X196" s="1"/>
      <c r="Y196" s="1"/>
      <c r="Z196" s="1"/>
      <c r="AA196" s="1"/>
      <c r="AB196" s="1"/>
      <c r="AC196" s="1"/>
      <c r="AD196" s="1"/>
      <c r="AE196" s="13"/>
    </row>
    <row r="197" spans="2:31" ht="15.75">
      <c r="B197" s="103"/>
      <c r="C197" s="281" t="s">
        <v>127</v>
      </c>
      <c r="D197" s="60"/>
      <c r="E197" s="281"/>
      <c r="F197" s="281"/>
      <c r="G197" s="281"/>
      <c r="H197" s="281"/>
      <c r="I197" s="281"/>
      <c r="J197" s="281"/>
      <c r="K197" s="281"/>
      <c r="L197" s="281"/>
      <c r="M197" s="281"/>
      <c r="N197" s="281"/>
      <c r="O197" s="281"/>
      <c r="P197" s="1"/>
      <c r="T197" s="14"/>
      <c r="U197" s="377" t="s">
        <v>74</v>
      </c>
      <c r="V197" s="377"/>
      <c r="W197" s="377"/>
      <c r="X197" s="377"/>
      <c r="Y197" s="377"/>
      <c r="Z197" s="1"/>
      <c r="AA197" s="14"/>
      <c r="AB197" s="278" t="str">
        <f>IF('Mon Entreprise'!K8&lt;=Annexes!U24,"Oui","Non")</f>
        <v>Oui</v>
      </c>
      <c r="AC197" s="1"/>
      <c r="AD197" s="1"/>
      <c r="AE197" s="13"/>
    </row>
    <row r="198" spans="2:31" ht="15.75">
      <c r="B198" s="169"/>
      <c r="C198" s="281"/>
      <c r="D198" s="60" t="str">
        <f>IFERROR(IF('Mon Entreprise'!K8&gt;=Annexes!S20,IF(AB189&gt;=AB191,"Le CA de référence est celui de Janvier 2019, soit une perte de "&amp;ROUND(AB189,0)&amp;" €"&amp;" ==&gt; "&amp;ROUND(AE189*100,0)&amp;" %","Le CA de référence est celui de la création, soit une perte de "&amp;ROUND(AB191,0)&amp;" €"&amp;" ==&gt; "&amp;ROUND(AE191*100,0)&amp;" %"),IF(AB189&gt;=AB190,"Le CA de référence est celui de Janvier 2019, soit une perte de "&amp;ROUND(AB189,0)&amp;" €"&amp;" ==&gt; "&amp;ROUND(AE189*100,0)&amp;" %","Le CA de référence est celui de de l'exercice 2019, soit une perte de "&amp;ROUND(AB190,0)&amp;" €"&amp;" ==&gt; "&amp;ROUND(AE190*100,0)&amp;" %")),"")</f>
        <v>Le CA de référence est celui de Janvier 2019, soit une perte de 0 € ==&gt; 0 %</v>
      </c>
      <c r="E198" s="281"/>
      <c r="F198" s="281"/>
      <c r="G198" s="281"/>
      <c r="H198" s="281"/>
      <c r="I198" s="281"/>
      <c r="J198" s="281"/>
      <c r="K198" s="281"/>
      <c r="L198" s="281"/>
      <c r="M198" s="281"/>
      <c r="N198" s="281"/>
      <c r="O198" s="281"/>
      <c r="P198" s="1"/>
      <c r="T198" s="14"/>
      <c r="U198" s="377" t="s">
        <v>87</v>
      </c>
      <c r="V198" s="377"/>
      <c r="W198" s="377"/>
      <c r="X198" s="377"/>
      <c r="Y198" s="377"/>
      <c r="Z198" s="1"/>
      <c r="AA198" s="14"/>
      <c r="AB198" s="276">
        <f>IF('Mon Entreprise'!K8&gt;=Annexes!S20,IF(AB189&gt;=AB191,AB189,AB191),IF(AB189&gt;=AB190,AB189,AB190))</f>
        <v>0</v>
      </c>
      <c r="AC198" s="1"/>
      <c r="AD198" s="1"/>
      <c r="AE198" s="13"/>
    </row>
    <row r="199" spans="2:31" ht="16.5" thickBot="1">
      <c r="B199" s="103"/>
      <c r="C199" s="281"/>
      <c r="D199" s="60"/>
      <c r="E199" s="281"/>
      <c r="F199" s="281"/>
      <c r="G199" s="281"/>
      <c r="H199" s="281"/>
      <c r="I199" s="281"/>
      <c r="J199" s="281"/>
      <c r="K199" s="281"/>
      <c r="L199" s="281"/>
      <c r="M199" s="281"/>
      <c r="N199" s="281"/>
      <c r="O199" s="281"/>
      <c r="P199" s="1"/>
      <c r="T199" s="14"/>
      <c r="U199" s="377" t="s">
        <v>88</v>
      </c>
      <c r="V199" s="377"/>
      <c r="W199" s="377"/>
      <c r="X199" s="377"/>
      <c r="Y199" s="377"/>
      <c r="Z199" s="1"/>
      <c r="AA199" s="14"/>
      <c r="AB199" s="19">
        <f>IF('Mon Entreprise'!K8&gt;=Annexes!S20,IF(AB189&gt;=AB191,AE189,AE191),IF(AB189&gt;=AB190,AE189,AE190))</f>
        <v>0</v>
      </c>
      <c r="AC199" s="1"/>
      <c r="AD199" s="1"/>
      <c r="AE199" s="13"/>
    </row>
    <row r="200" spans="2:31" ht="15.75" customHeight="1">
      <c r="B200" s="169"/>
      <c r="C200" s="281"/>
      <c r="D200" s="400" t="str">
        <f>IFERROR(IF(AB197="Non","Vous avez débuté votre activité après le 31 Octobre 2020, vous ne pouvez donc pas bénéficier de cette aide",IF(AB199&gt;=0.5,IF(AB198&gt;Annexes!S5,"Dans votre cas, l'aide est Plafonnée, à "&amp;Annexes!S5&amp;" € pour le mois de Janvier","Vous pouvez bénéficier, au titre de cette aide, d'un montant de "&amp;ROUND(AB198,0)&amp;" € pour le mois de Janvier"),"L'entreprise n'a pas une perte d'au moins 50 % en Janvier 2021")),"Vous n'avez pas indiqué de chiffre d'affaires de référence")</f>
        <v>L'entreprise n'a pas une perte d'au moins 50 % en Janvier 2021</v>
      </c>
      <c r="E200" s="401"/>
      <c r="F200" s="401"/>
      <c r="G200" s="401"/>
      <c r="H200" s="401"/>
      <c r="I200" s="401"/>
      <c r="J200" s="401"/>
      <c r="K200" s="401"/>
      <c r="L200" s="401"/>
      <c r="M200" s="401"/>
      <c r="N200" s="401"/>
      <c r="O200" s="402"/>
      <c r="P200" s="1"/>
      <c r="T200" s="14"/>
      <c r="U200" s="1"/>
      <c r="V200" s="1"/>
      <c r="W200" s="1"/>
      <c r="X200" s="1"/>
      <c r="Y200" s="1"/>
      <c r="Z200" s="1"/>
      <c r="AA200" s="1"/>
      <c r="AB200" s="1"/>
      <c r="AC200" s="1"/>
      <c r="AD200" s="1"/>
      <c r="AE200" s="13"/>
    </row>
    <row r="201" spans="2:31" ht="15.75" customHeight="1">
      <c r="B201" s="169"/>
      <c r="C201" s="281"/>
      <c r="D201" s="403"/>
      <c r="E201" s="404"/>
      <c r="F201" s="404"/>
      <c r="G201" s="404"/>
      <c r="H201" s="404"/>
      <c r="I201" s="404"/>
      <c r="J201" s="404"/>
      <c r="K201" s="404"/>
      <c r="L201" s="404"/>
      <c r="M201" s="404"/>
      <c r="N201" s="404"/>
      <c r="O201" s="405"/>
      <c r="P201" s="1"/>
      <c r="T201" s="14"/>
      <c r="U201" s="1"/>
      <c r="V201" s="1"/>
      <c r="W201" s="1"/>
      <c r="X201" s="1"/>
      <c r="Y201" s="1"/>
      <c r="Z201" s="1"/>
      <c r="AA201" s="1"/>
      <c r="AB201" s="1"/>
      <c r="AC201" s="1"/>
      <c r="AD201" s="1"/>
      <c r="AE201" s="13"/>
    </row>
    <row r="202" spans="2:31" ht="15.75" customHeight="1">
      <c r="B202" s="103"/>
      <c r="C202" s="281"/>
      <c r="D202" s="403"/>
      <c r="E202" s="404"/>
      <c r="F202" s="404"/>
      <c r="G202" s="404"/>
      <c r="H202" s="404"/>
      <c r="I202" s="404"/>
      <c r="J202" s="404"/>
      <c r="K202" s="404"/>
      <c r="L202" s="404"/>
      <c r="M202" s="404"/>
      <c r="N202" s="404"/>
      <c r="O202" s="405"/>
      <c r="P202" s="1"/>
      <c r="T202" s="14"/>
      <c r="U202" s="1"/>
      <c r="V202" s="1"/>
      <c r="W202" s="1"/>
      <c r="X202" s="1"/>
      <c r="Y202" s="1"/>
      <c r="Z202" s="1"/>
      <c r="AA202" s="1"/>
      <c r="AB202" s="1"/>
      <c r="AC202" s="1"/>
      <c r="AD202" s="1"/>
      <c r="AE202" s="13"/>
    </row>
    <row r="203" spans="2:31" ht="16.5" customHeight="1" thickBot="1">
      <c r="B203" s="103"/>
      <c r="C203" s="281"/>
      <c r="D203" s="406"/>
      <c r="E203" s="407"/>
      <c r="F203" s="407"/>
      <c r="G203" s="407"/>
      <c r="H203" s="407"/>
      <c r="I203" s="407"/>
      <c r="J203" s="407"/>
      <c r="K203" s="407"/>
      <c r="L203" s="407"/>
      <c r="M203" s="407"/>
      <c r="N203" s="407"/>
      <c r="O203" s="408"/>
      <c r="P203" s="1"/>
      <c r="T203" s="14"/>
      <c r="U203" s="1"/>
      <c r="V203" s="1"/>
      <c r="W203" s="1"/>
      <c r="X203" s="1"/>
      <c r="Y203" s="1"/>
      <c r="Z203" s="1"/>
      <c r="AA203" s="1"/>
      <c r="AB203" s="1"/>
      <c r="AC203" s="1"/>
      <c r="AD203" s="1"/>
      <c r="AE203" s="13"/>
    </row>
    <row r="204" spans="2:31" ht="16.5" customHeight="1">
      <c r="B204" s="103"/>
      <c r="C204" s="170"/>
      <c r="D204" s="171"/>
      <c r="E204" s="171"/>
      <c r="F204" s="171"/>
      <c r="G204" s="171"/>
      <c r="H204" s="171"/>
      <c r="I204" s="171"/>
      <c r="J204" s="171"/>
      <c r="K204" s="171"/>
      <c r="L204" s="171"/>
      <c r="M204" s="171"/>
      <c r="N204" s="171"/>
      <c r="O204" s="171"/>
      <c r="P204" s="1"/>
      <c r="T204" s="14"/>
      <c r="U204" s="1"/>
      <c r="V204" s="1"/>
      <c r="W204" s="1"/>
      <c r="X204" s="1"/>
      <c r="Y204" s="1"/>
      <c r="Z204" s="1"/>
      <c r="AA204" s="1"/>
      <c r="AB204" s="1"/>
      <c r="AC204" s="1"/>
      <c r="AD204" s="1"/>
      <c r="AE204" s="13"/>
    </row>
    <row r="205" spans="2:31" ht="16.5" customHeight="1">
      <c r="B205" s="103"/>
      <c r="C205" s="281"/>
      <c r="D205" s="277"/>
      <c r="E205" s="277"/>
      <c r="F205" s="277"/>
      <c r="G205" s="277"/>
      <c r="H205" s="277"/>
      <c r="I205" s="277"/>
      <c r="J205" s="277"/>
      <c r="K205" s="277"/>
      <c r="L205" s="277"/>
      <c r="M205" s="277"/>
      <c r="N205" s="277"/>
      <c r="O205" s="277"/>
      <c r="P205" s="1"/>
      <c r="T205" s="411" t="s">
        <v>4</v>
      </c>
      <c r="U205" s="412"/>
      <c r="V205" s="412"/>
      <c r="W205" s="412"/>
      <c r="X205" s="412"/>
      <c r="Y205" s="412"/>
      <c r="Z205" s="139"/>
      <c r="AA205" s="145"/>
      <c r="AB205" s="196">
        <f>IFERROR(IF('Mon Entreprise'!K8&lt;Annexes!U14,IF('Mon Entreprise'!K8&lt;Annexes!S17,IF(IFERROR(1-'Mon Entreprise'!M83/'Mon Entreprise'!I83,0)&gt;=IFERROR(1-'Mon Entreprise'!M83/('Mon Entreprise'!I63*2),0),1-'Mon Entreprise'!M83/'Mon Entreprise'!I83,1-'Mon Entreprise'!M83/('Mon Entreprise'!I63*2)),1-'Mon Entreprise'!M83/'Mon Entreprise'!I126),0),0)</f>
        <v>0</v>
      </c>
      <c r="AC205" s="1"/>
      <c r="AD205" s="1"/>
      <c r="AE205" s="13"/>
    </row>
    <row r="206" spans="2:31" ht="16.5" customHeight="1">
      <c r="B206" s="103"/>
      <c r="C206" s="413" t="s">
        <v>119</v>
      </c>
      <c r="D206" s="413"/>
      <c r="E206" s="413"/>
      <c r="F206" s="413"/>
      <c r="G206" s="413"/>
      <c r="H206" s="413"/>
      <c r="I206" s="413"/>
      <c r="J206" s="413"/>
      <c r="K206" s="413"/>
      <c r="L206" s="413"/>
      <c r="M206" s="413"/>
      <c r="N206" s="413"/>
      <c r="O206" s="413"/>
      <c r="P206" s="1"/>
      <c r="T206" s="110"/>
      <c r="U206" s="399" t="s">
        <v>107</v>
      </c>
      <c r="V206" s="399"/>
      <c r="W206" s="399"/>
      <c r="X206" s="399"/>
      <c r="Y206" s="399"/>
      <c r="Z206" s="139"/>
      <c r="AA206" s="145"/>
      <c r="AB206" s="196">
        <f>IFERROR(IF('Mon Entreprise'!K8&gt;Annexes!U26,0,IF('Mon Entreprise'!K8&gt;=Annexes!U25,1-'Mon Entreprise'!M79/'Mon Entreprise'!M81,IF('Mon Entreprise'!K8&gt;Annexes!U14,1-'Mon Entreprise'!M79/'Mon Entreprise'!I130,AB104))),0)</f>
        <v>0</v>
      </c>
      <c r="AC206" s="1"/>
      <c r="AD206" s="1"/>
      <c r="AE206" s="13"/>
    </row>
    <row r="207" spans="2:31" ht="16.5" customHeight="1">
      <c r="B207" s="103"/>
      <c r="C207" s="413"/>
      <c r="D207" s="413"/>
      <c r="E207" s="413"/>
      <c r="F207" s="413"/>
      <c r="G207" s="413"/>
      <c r="H207" s="413"/>
      <c r="I207" s="413"/>
      <c r="J207" s="413"/>
      <c r="K207" s="413"/>
      <c r="L207" s="413"/>
      <c r="M207" s="413"/>
      <c r="N207" s="413"/>
      <c r="O207" s="413"/>
      <c r="P207" s="1"/>
      <c r="T207" s="110"/>
      <c r="U207" s="399" t="s">
        <v>116</v>
      </c>
      <c r="V207" s="399"/>
      <c r="W207" s="399"/>
      <c r="X207" s="399"/>
      <c r="Y207" s="399"/>
      <c r="Z207" s="139"/>
      <c r="AA207" s="145"/>
      <c r="AB207" s="196">
        <f>IFERROR(IF(Annexes!S27&gt;'Mon Entreprise'!K8,1-'Mon Entreprise'!M63/'Mon Entreprise'!I63,""),0)</f>
        <v>0</v>
      </c>
      <c r="AC207" s="1"/>
      <c r="AD207" s="1"/>
      <c r="AE207" s="13"/>
    </row>
    <row r="208" spans="2:31" ht="16.5" customHeight="1">
      <c r="B208" s="103"/>
      <c r="C208" s="413"/>
      <c r="D208" s="413"/>
      <c r="E208" s="413"/>
      <c r="F208" s="413"/>
      <c r="G208" s="413"/>
      <c r="H208" s="413"/>
      <c r="I208" s="413"/>
      <c r="J208" s="413"/>
      <c r="K208" s="413"/>
      <c r="L208" s="413"/>
      <c r="M208" s="413"/>
      <c r="N208" s="413"/>
      <c r="O208" s="413"/>
      <c r="P208" s="1"/>
      <c r="T208" s="14"/>
      <c r="U208" s="397" t="s">
        <v>8</v>
      </c>
      <c r="V208" s="397"/>
      <c r="W208" s="397"/>
      <c r="X208" s="397"/>
      <c r="Y208" s="397"/>
      <c r="Z208" s="1"/>
      <c r="AA208" s="14"/>
      <c r="AB208" s="276" t="str">
        <f>IF((AND(Annexes!F5&gt;1,Annexes!F5&lt;=Annexes!H6)),"OUI","NON")</f>
        <v>NON</v>
      </c>
      <c r="AC208" s="1"/>
      <c r="AD208" s="1"/>
      <c r="AE208" s="13"/>
    </row>
    <row r="209" spans="1:31" ht="16.5" customHeight="1">
      <c r="B209" s="103"/>
      <c r="C209" s="281"/>
      <c r="D209" s="277"/>
      <c r="E209" s="301" t="str">
        <f>IF('Mon Entreprise'!K8&gt;Annexes!U24,"",IF(OR(AB208="OUI",AND(OR(AB210="OUI",AB209="OUI"),OR(AB205&gt;=Annexes!T5,AB206&gt;=Annexes!T5,'Mes Aides'!AB149&gt;=0.1)),AB211=TRUE),"",IF(AND(OR(AB210="OUI",AB209="OUI"),OR(AB205&lt;Annexes!T5,AB206&lt;Annexes!T5,'Mes Aides'!AB207&lt;0.1)),"L'entreprise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9" s="301"/>
      <c r="G209" s="301"/>
      <c r="H209" s="301"/>
      <c r="I209" s="301"/>
      <c r="J209" s="301"/>
      <c r="K209" s="301"/>
      <c r="L209" s="301"/>
      <c r="M209" s="301"/>
      <c r="N209" s="301"/>
      <c r="O209" s="301"/>
      <c r="P209" s="1"/>
      <c r="T209" s="14"/>
      <c r="U209" s="279"/>
      <c r="V209" s="279"/>
      <c r="W209" s="279"/>
      <c r="X209" s="279"/>
      <c r="Y209" s="279" t="s">
        <v>9</v>
      </c>
      <c r="Z209" s="1"/>
      <c r="AA209" s="14"/>
      <c r="AB209" s="276" t="str">
        <f>IF(AND(Annexes!F7&gt;1,Annexes!F7&lt;=Annexes!H8),"OUI","NON")</f>
        <v>NON</v>
      </c>
      <c r="AC209" s="1"/>
      <c r="AD209" s="1"/>
      <c r="AE209" s="13"/>
    </row>
    <row r="210" spans="1:31" ht="16.5" customHeight="1">
      <c r="B210" s="169"/>
      <c r="C210" s="281"/>
      <c r="D210" s="277"/>
      <c r="E210" s="301"/>
      <c r="F210" s="301"/>
      <c r="G210" s="301"/>
      <c r="H210" s="301"/>
      <c r="I210" s="301"/>
      <c r="J210" s="301"/>
      <c r="K210" s="301"/>
      <c r="L210" s="301"/>
      <c r="M210" s="301"/>
      <c r="N210" s="301"/>
      <c r="O210" s="301"/>
      <c r="P210" s="1"/>
      <c r="T210" s="378" t="s">
        <v>312</v>
      </c>
      <c r="U210" s="379"/>
      <c r="V210" s="379"/>
      <c r="W210" s="379"/>
      <c r="X210" s="379"/>
      <c r="Y210" s="379"/>
      <c r="Z210" s="1"/>
      <c r="AA210" s="14"/>
      <c r="AB210" s="276" t="str">
        <f>IF(Annexes!M13=TRUE,"OUI","NON")</f>
        <v>NON</v>
      </c>
      <c r="AC210" s="1"/>
      <c r="AD210" s="1"/>
      <c r="AE210" s="13"/>
    </row>
    <row r="211" spans="1:31" ht="16.5" customHeight="1">
      <c r="A211" s="99"/>
      <c r="B211" s="103"/>
      <c r="C211" s="281"/>
      <c r="D211" s="384" t="str">
        <f>IFERROR(IF('Mon Entreprise'!K8&gt;=Annexes!S20,IF(AB189&gt;=AB191,"- Le CA de référence est celui de Janvier 2019, soit une perte de "&amp;ROUND(AB189,0)&amp;" €"&amp;" ==&gt; "&amp;ROUND(AE189*100,0)&amp;" %","- Le CA de référence est celui de la création, soit une perte de "&amp;ROUND(AB191,0)&amp;" €"&amp;" ==&gt; "&amp;ROUND(AE191*100,0)&amp;" %"),IF(AB189&gt;=AB190,"- Le CA de référence est celui de Janvier 2019, soit une perte de "&amp;ROUND(AB189,0)&amp;" €"&amp;" ==&gt; "&amp;ROUND(AE189*100,0)&amp;" %","- Le CA de référence est celui de l'exercice 2019, soit une perte de "&amp;ROUND(AB190,0)&amp;" €"&amp;" ==&gt; "&amp;ROUND(AE190*100,0)&amp;" %")),"")</f>
        <v>- Le CA de référence est celui de Janvier 2019, soit une perte de 0 € ==&gt; 0 %</v>
      </c>
      <c r="E211" s="384"/>
      <c r="F211" s="384"/>
      <c r="G211" s="384"/>
      <c r="H211" s="384"/>
      <c r="I211" s="384"/>
      <c r="J211" s="384"/>
      <c r="K211" s="384"/>
      <c r="L211" s="384"/>
      <c r="M211" s="384"/>
      <c r="N211" s="384"/>
      <c r="O211" s="384"/>
      <c r="P211" s="1"/>
      <c r="T211" s="14"/>
      <c r="U211" s="379" t="s">
        <v>12</v>
      </c>
      <c r="V211" s="379"/>
      <c r="W211" s="379"/>
      <c r="X211" s="379"/>
      <c r="Y211" s="379"/>
      <c r="Z211" s="1"/>
      <c r="AA211" s="14"/>
      <c r="AB211" s="276" t="b">
        <f>Annexes!M15</f>
        <v>0</v>
      </c>
      <c r="AC211" s="1"/>
      <c r="AD211" s="1"/>
      <c r="AE211" s="13"/>
    </row>
    <row r="212" spans="1:31" ht="16.5" customHeight="1">
      <c r="B212" s="103"/>
      <c r="C212" s="281"/>
      <c r="D212" s="217" t="str">
        <f>IF(OR(AB208="OUI",AB211=TRUE),"- Sans ticket modérateur",IF(AND(OR(AB210="OUI",AB209="OUI"),OR(AB205&gt;=0.8,AB206&gt;=0.8,AB207&gt;=0.1)),"- La Perte de référence est plafonnée à 80 %, soit "&amp;ROUND(AB217,0)&amp;" €","- Sans ticket modérateur"))</f>
        <v>- Sans ticket modérateur</v>
      </c>
      <c r="E212" s="270"/>
      <c r="F212" s="270"/>
      <c r="G212" s="270"/>
      <c r="H212" s="270"/>
      <c r="I212" s="270"/>
      <c r="J212" s="270"/>
      <c r="K212" s="270"/>
      <c r="L212" s="270"/>
      <c r="M212" s="270"/>
      <c r="N212" s="270"/>
      <c r="O212" s="270"/>
      <c r="P212" s="1"/>
      <c r="T212" s="14"/>
      <c r="U212" s="410" t="s">
        <v>74</v>
      </c>
      <c r="V212" s="410"/>
      <c r="W212" s="410"/>
      <c r="X212" s="410"/>
      <c r="Y212" s="410"/>
      <c r="Z212" s="139"/>
      <c r="AA212" s="145"/>
      <c r="AB212" s="278" t="str">
        <f>IF('Mon Entreprise'!K8&lt;=Annexes!U26,"Oui","Non")</f>
        <v>Oui</v>
      </c>
      <c r="AC212" s="139"/>
      <c r="AD212" s="1"/>
      <c r="AE212" s="13"/>
    </row>
    <row r="213" spans="1:31" ht="16.5" customHeight="1" thickBot="1">
      <c r="B213" s="103"/>
      <c r="C213" s="281"/>
      <c r="D213" s="270"/>
      <c r="E213" s="270"/>
      <c r="F213" s="270"/>
      <c r="G213" s="270"/>
      <c r="H213" s="270"/>
      <c r="I213" s="270"/>
      <c r="J213" s="270"/>
      <c r="K213" s="270"/>
      <c r="L213" s="270"/>
      <c r="M213" s="270"/>
      <c r="N213" s="270"/>
      <c r="O213" s="270"/>
      <c r="P213" s="1"/>
      <c r="T213" s="14"/>
      <c r="U213" s="410" t="s">
        <v>87</v>
      </c>
      <c r="V213" s="410"/>
      <c r="W213" s="410"/>
      <c r="X213" s="410"/>
      <c r="Y213" s="410"/>
      <c r="Z213" s="139"/>
      <c r="AA213" s="145"/>
      <c r="AB213" s="278">
        <f>IF('Mon Entreprise'!K8&gt;=Annexes!S20,IF(AB189&gt;=AB191,AB189,AB191),IF(AB189&gt;=AB190,AB189,AB190))</f>
        <v>0</v>
      </c>
      <c r="AC213" s="139"/>
      <c r="AD213" s="1"/>
      <c r="AE213" s="13"/>
    </row>
    <row r="214" spans="1:31" ht="16.5" customHeight="1">
      <c r="B214" s="103"/>
      <c r="C214" s="281"/>
      <c r="D214" s="400" t="str">
        <f>IFERROR(IF('Mon Entreprise'!K8&gt;Annexes!U26,"Vous avez débuté votre activité après le 31 Octobre 2020, vous ne pouvez donc pas bénéficier de cette aide",IF(AB211=TRUE,IF(AB217&gt;Annexes!S6,"Dans votre cas, l'aide est Plafonnée, à "&amp;Annexes!S6&amp;" € pour le mois de Janvier","Vous pouvez bénéficier, au titre de cette aide, d'un montant de "&amp;ROUND(AB217,0)&amp;" € pour le mois de Janvier"),IF(AB214&gt;=0.5,IF(OR(AB208="OUI",AND(OR(AB210="OUI",AB209="OUI"),OR(AB205&gt;=Annexes!T5,AB206&gt;=Annexes!T5,AB207&gt;=0.1))),IF(AB217&gt;Annexes!S6,"Dans votre cas, l'aide est Plafonnée, à "&amp;Annexes!S6&amp;" € pour le mois de Janvier","Vous pouvez bénéficier, au titre de cette aide, d'un montant de "&amp;ROUND(AB217,0)&amp;" € pour le mois de Janvier"),IF(AND(OR(AB210="OUI",AB209="OUI"),OR(AB205&lt;Annexes!T5,AB206&lt;Annexes!T5)),"L'entreprise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14" s="401"/>
      <c r="F214" s="401"/>
      <c r="G214" s="401"/>
      <c r="H214" s="401"/>
      <c r="I214" s="401"/>
      <c r="J214" s="401"/>
      <c r="K214" s="401"/>
      <c r="L214" s="401"/>
      <c r="M214" s="401"/>
      <c r="N214" s="401"/>
      <c r="O214" s="402"/>
      <c r="P214" s="1"/>
      <c r="T214" s="14"/>
      <c r="U214" s="410" t="s">
        <v>88</v>
      </c>
      <c r="V214" s="410"/>
      <c r="W214" s="410"/>
      <c r="X214" s="410"/>
      <c r="Y214" s="410"/>
      <c r="Z214" s="139"/>
      <c r="AA214" s="145"/>
      <c r="AB214" s="278">
        <f>IF('Mon Entreprise'!K8&gt;=Annexes!S20,IF(AB189&gt;=AB191,AE189,AE191),IF(AB189&gt;=AB190,AE189,AE190))</f>
        <v>0</v>
      </c>
      <c r="AC214" s="139"/>
      <c r="AD214" s="1"/>
      <c r="AE214" s="13"/>
    </row>
    <row r="215" spans="1:31" ht="16.5" customHeight="1">
      <c r="B215" s="174"/>
      <c r="C215" s="281"/>
      <c r="D215" s="403"/>
      <c r="E215" s="404"/>
      <c r="F215" s="404"/>
      <c r="G215" s="404"/>
      <c r="H215" s="404"/>
      <c r="I215" s="404"/>
      <c r="J215" s="404"/>
      <c r="K215" s="404"/>
      <c r="L215" s="404"/>
      <c r="M215" s="404"/>
      <c r="N215" s="404"/>
      <c r="O215" s="405"/>
      <c r="P215" s="1"/>
      <c r="T215" s="14"/>
      <c r="U215" s="396" t="s">
        <v>76</v>
      </c>
      <c r="V215" s="396"/>
      <c r="W215" s="396"/>
      <c r="X215" s="396"/>
      <c r="Y215" s="396"/>
      <c r="Z215" s="139"/>
      <c r="AA215" s="145"/>
      <c r="AB215" s="278">
        <f>IF(OR(AB208="OUI",AB211=TRUE),1,IF(AND(OR(AB210="OUI",AB209="OUI"),OR(AB205&gt;=0.8,AB206&gt;=0.8,AB207&gt;=0.1)),0.8,1))</f>
        <v>1</v>
      </c>
      <c r="AC215" s="139"/>
      <c r="AD215" s="1"/>
      <c r="AE215" s="13"/>
    </row>
    <row r="216" spans="1:31" ht="16.5" customHeight="1">
      <c r="B216" s="103"/>
      <c r="C216" s="281"/>
      <c r="D216" s="403"/>
      <c r="E216" s="404"/>
      <c r="F216" s="404"/>
      <c r="G216" s="404"/>
      <c r="H216" s="404"/>
      <c r="I216" s="404"/>
      <c r="J216" s="404"/>
      <c r="K216" s="404"/>
      <c r="L216" s="404"/>
      <c r="M216" s="404"/>
      <c r="N216" s="404"/>
      <c r="O216" s="405"/>
      <c r="P216" s="1"/>
      <c r="T216" s="14"/>
      <c r="U216" s="396" t="s">
        <v>83</v>
      </c>
      <c r="V216" s="396"/>
      <c r="W216" s="396"/>
      <c r="X216" s="396"/>
      <c r="Y216" s="396"/>
      <c r="Z216" s="139"/>
      <c r="AA216" s="145"/>
      <c r="AB216" s="278">
        <f>IF('Mon Entreprise'!K8&gt;=Annexes!S20,IF(AB189&gt;=AB191,Y189,Y191),IF(AB189&gt;=AB190,Y189,Y190))</f>
        <v>0</v>
      </c>
      <c r="AC216" s="139"/>
      <c r="AD216" s="1"/>
      <c r="AE216" s="13"/>
    </row>
    <row r="217" spans="1:31" ht="16.5" customHeight="1" thickBot="1">
      <c r="B217" s="103"/>
      <c r="C217" s="281"/>
      <c r="D217" s="406"/>
      <c r="E217" s="407"/>
      <c r="F217" s="407"/>
      <c r="G217" s="407"/>
      <c r="H217" s="407"/>
      <c r="I217" s="407"/>
      <c r="J217" s="407"/>
      <c r="K217" s="407"/>
      <c r="L217" s="407"/>
      <c r="M217" s="407"/>
      <c r="N217" s="407"/>
      <c r="O217" s="408"/>
      <c r="P217" s="1"/>
      <c r="T217" s="14"/>
      <c r="U217" s="379" t="s">
        <v>109</v>
      </c>
      <c r="V217" s="379"/>
      <c r="W217" s="379"/>
      <c r="X217" s="379"/>
      <c r="Y217" s="379"/>
      <c r="Z217" s="1"/>
      <c r="AA217" s="14"/>
      <c r="AB217" s="276">
        <f>IF(AB215=1,AB213,IF(AB213*AB215&gt;1500,IF(AB213&gt;1500,AB213*AB215,"Impossible"),IF(AB213&lt;1500,AB213,1500)))</f>
        <v>0</v>
      </c>
      <c r="AC217" s="1"/>
      <c r="AD217" s="1"/>
      <c r="AE217" s="13"/>
    </row>
    <row r="218" spans="1:31" ht="16.5" customHeight="1">
      <c r="B218" s="103"/>
      <c r="C218" s="170"/>
      <c r="D218" s="175"/>
      <c r="E218" s="175"/>
      <c r="F218" s="175"/>
      <c r="G218" s="175"/>
      <c r="H218" s="175"/>
      <c r="I218" s="175"/>
      <c r="J218" s="175"/>
      <c r="K218" s="175"/>
      <c r="L218" s="175"/>
      <c r="M218" s="175"/>
      <c r="N218" s="175"/>
      <c r="O218" s="175"/>
      <c r="P218" s="1"/>
      <c r="T218" s="14"/>
      <c r="U218" s="276"/>
      <c r="V218" s="276"/>
      <c r="W218" s="276"/>
      <c r="X218" s="276"/>
      <c r="Y218" s="276"/>
      <c r="Z218" s="1"/>
      <c r="AA218" s="1"/>
      <c r="AB218" s="1"/>
      <c r="AC218" s="1"/>
      <c r="AD218" s="1"/>
      <c r="AE218" s="13"/>
    </row>
    <row r="219" spans="1:31" ht="16.5" customHeight="1">
      <c r="B219" s="103"/>
      <c r="C219" s="281"/>
      <c r="D219" s="270"/>
      <c r="E219" s="270"/>
      <c r="F219" s="270"/>
      <c r="G219" s="270"/>
      <c r="H219" s="270"/>
      <c r="I219" s="270"/>
      <c r="J219" s="270"/>
      <c r="K219" s="270"/>
      <c r="L219" s="270"/>
      <c r="M219" s="270"/>
      <c r="N219" s="270"/>
      <c r="O219" s="270"/>
      <c r="P219" s="1"/>
      <c r="T219" s="14"/>
      <c r="U219" s="379"/>
      <c r="V219" s="379"/>
      <c r="W219" s="379"/>
      <c r="X219" s="379"/>
      <c r="Y219" s="379"/>
      <c r="Z219" s="1"/>
      <c r="AA219" s="1"/>
      <c r="AB219" s="1"/>
      <c r="AC219" s="1"/>
      <c r="AD219" s="1"/>
      <c r="AE219" s="13"/>
    </row>
    <row r="220" spans="1:31" ht="16.5" customHeight="1">
      <c r="B220" s="103"/>
      <c r="C220" s="398" t="s">
        <v>311</v>
      </c>
      <c r="D220" s="398"/>
      <c r="E220" s="398"/>
      <c r="F220" s="398"/>
      <c r="G220" s="398"/>
      <c r="H220" s="398"/>
      <c r="I220" s="398"/>
      <c r="J220" s="398"/>
      <c r="K220" s="398"/>
      <c r="L220" s="398"/>
      <c r="M220" s="398"/>
      <c r="N220" s="398"/>
      <c r="O220" s="398"/>
      <c r="P220" s="1"/>
      <c r="T220" s="14"/>
      <c r="U220" s="276"/>
      <c r="V220" s="276"/>
      <c r="W220" s="276"/>
      <c r="X220" s="276"/>
      <c r="Y220" s="276"/>
      <c r="Z220" s="1"/>
      <c r="AA220" s="1"/>
      <c r="AB220" s="1"/>
      <c r="AC220" s="1"/>
      <c r="AD220" s="1"/>
      <c r="AE220" s="13"/>
    </row>
    <row r="221" spans="1:31" ht="16.5" customHeight="1">
      <c r="B221" s="103"/>
      <c r="C221" s="398"/>
      <c r="D221" s="398"/>
      <c r="E221" s="398"/>
      <c r="F221" s="398"/>
      <c r="G221" s="398"/>
      <c r="H221" s="398"/>
      <c r="I221" s="398"/>
      <c r="J221" s="398"/>
      <c r="K221" s="398"/>
      <c r="L221" s="398"/>
      <c r="M221" s="398"/>
      <c r="N221" s="398"/>
      <c r="O221" s="398"/>
      <c r="P221" s="1"/>
      <c r="T221" s="14"/>
      <c r="U221" s="1"/>
      <c r="V221" s="1"/>
      <c r="W221" s="1"/>
      <c r="X221" s="1"/>
      <c r="Y221" s="1"/>
      <c r="Z221" s="1"/>
      <c r="AA221" s="1"/>
      <c r="AB221" s="1"/>
      <c r="AC221" s="1"/>
      <c r="AD221" s="1"/>
      <c r="AE221" s="13"/>
    </row>
    <row r="222" spans="1:31" ht="16.5" customHeight="1">
      <c r="B222" s="174"/>
      <c r="C222" s="398"/>
      <c r="D222" s="398"/>
      <c r="E222" s="398"/>
      <c r="F222" s="398"/>
      <c r="G222" s="398"/>
      <c r="H222" s="398"/>
      <c r="I222" s="398"/>
      <c r="J222" s="398"/>
      <c r="K222" s="398"/>
      <c r="L222" s="398"/>
      <c r="M222" s="398"/>
      <c r="N222" s="398"/>
      <c r="O222" s="398"/>
      <c r="P222" s="1"/>
      <c r="T222" s="14"/>
      <c r="U222" s="1"/>
      <c r="V222" s="1"/>
      <c r="W222" s="1"/>
      <c r="X222" s="1"/>
      <c r="Y222" s="1"/>
      <c r="Z222" s="1"/>
      <c r="AA222" s="1"/>
      <c r="AB222" s="1"/>
      <c r="AC222" s="1"/>
      <c r="AD222" s="1"/>
      <c r="AE222" s="13"/>
    </row>
    <row r="223" spans="1:31" ht="30" customHeight="1">
      <c r="B223" s="174"/>
      <c r="C223" s="281"/>
      <c r="D223" s="277"/>
      <c r="E223" s="301" t="str">
        <f>IF('Mon Entreprise'!K8&gt;Annexes!U24,"",IF(OR(AB208="OUI",AND(OR(AB210="OUI",AB209="OUI"),OR(AB205&gt;=Annexes!T5,AB206&gt;=Annexes!T5,'Mes Aides'!AB149&gt;=0.1)),AB211=TRUE),"",IF(AND(OR(AB210="OUI",AB209="OUI"),OR(AB205&lt;Annexes!T5,AB206&lt;Annexes!T5,'Mes Aides'!AB149&lt;0.1)),"L'entreprise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23" s="301"/>
      <c r="G223" s="301"/>
      <c r="H223" s="301"/>
      <c r="I223" s="301"/>
      <c r="J223" s="301"/>
      <c r="K223" s="301"/>
      <c r="L223" s="301"/>
      <c r="M223" s="301"/>
      <c r="N223" s="301"/>
      <c r="O223" s="301"/>
      <c r="P223" s="1"/>
      <c r="T223" s="14"/>
      <c r="U223" s="396" t="s">
        <v>85</v>
      </c>
      <c r="V223" s="396"/>
      <c r="W223" s="396"/>
      <c r="X223" s="396"/>
      <c r="Y223" s="396"/>
      <c r="Z223" s="68"/>
      <c r="AA223" s="1"/>
      <c r="AB223" s="1">
        <f>IFERROR(IF(AB197="Non",0,IF(AB199&gt;=0.5,IF(AB198&gt;Annexes!S5,Annexes!S5,ROUND(AB198,0)),0)),0)</f>
        <v>0</v>
      </c>
      <c r="AC223" s="1"/>
      <c r="AD223" s="1"/>
      <c r="AE223" s="13"/>
    </row>
    <row r="224" spans="1:31" ht="16.5" customHeight="1">
      <c r="B224" s="174"/>
      <c r="C224" s="281"/>
      <c r="D224" s="277"/>
      <c r="E224" s="301"/>
      <c r="F224" s="301"/>
      <c r="G224" s="301"/>
      <c r="H224" s="301"/>
      <c r="I224" s="301"/>
      <c r="J224" s="301"/>
      <c r="K224" s="301"/>
      <c r="L224" s="301"/>
      <c r="M224" s="301"/>
      <c r="N224" s="301"/>
      <c r="O224" s="301"/>
      <c r="P224" s="1"/>
      <c r="T224" s="14"/>
      <c r="U224" s="396" t="s">
        <v>84</v>
      </c>
      <c r="V224" s="396"/>
      <c r="W224" s="396"/>
      <c r="X224" s="396"/>
      <c r="Y224" s="396"/>
      <c r="Z224" s="68"/>
      <c r="AA224" s="1"/>
      <c r="AB224" s="1">
        <f>IFERROR(IF('Mon Entreprise'!K8&gt;Annexes!U26,0,IF(AB211=TRUE,IF(AB217&gt;Annexes!S6,Annexes!S6,ROUND(AB217,0)),IF(AB214&gt;=0.5,IF(OR(AB208="OUI",AND(OR(AB210="OUI",AB209="OUI"),OR(AB205&gt;=Annexes!T5,AB206&gt;=Annexes!T5,AB207&gt;=0.1))),IF(AB217&gt;Annexes!S6,Annexes!S6,ROUND(AB217,0)),IF(AND(OR(AB210="OUI",AB209="OUI"),OR(AB205&lt;Annexes!T5,AB206&lt;Annexes!T5)),0,0)),0))),0)</f>
        <v>0</v>
      </c>
      <c r="AC224" s="1"/>
      <c r="AD224" s="1"/>
      <c r="AE224" s="13"/>
    </row>
    <row r="225" spans="2:31" ht="16.5" customHeight="1">
      <c r="B225" s="174"/>
      <c r="C225" s="281"/>
      <c r="D225" s="301" t="str">
        <f>IFERROR(IF('Mon Entreprise'!K8&gt;=Annexes!S20,IF(AB189&gt;=AB191,"- Le CA de référence est celui de Janvier 2019, soit une perte de "&amp;ROUND(AB189,0)&amp;" €"&amp;" ==&gt; "&amp;ROUND(AE189*100,0)&amp;" %","- Le CA de référence est celui de la création, soit une perte de "&amp;ROUND(AB191,0)&amp;" €"&amp;" ==&gt; "&amp;ROUND(AE191*100,0)&amp;" %"),IF(AB189&gt;=AB190,"- Le CA de référence est celui de Janvier 2019, soit une perte de "&amp;ROUND(AB189,0)&amp;" €"&amp;" ==&gt; "&amp;ROUND(AE189*100,0)&amp;" %","- Le CA de référence est celui de l'exercice 2019, soit une perte de "&amp;ROUND(AB190,0)&amp;" €"&amp;" ==&gt; "&amp;ROUND(AE190*100,0)&amp;" %")),"")</f>
        <v>- Le CA de référence est celui de Janvier 2019, soit une perte de 0 € ==&gt; 0 %</v>
      </c>
      <c r="E225" s="301"/>
      <c r="F225" s="301"/>
      <c r="G225" s="301"/>
      <c r="H225" s="301"/>
      <c r="I225" s="301"/>
      <c r="J225" s="301"/>
      <c r="K225" s="301"/>
      <c r="L225" s="301"/>
      <c r="M225" s="301"/>
      <c r="N225" s="301"/>
      <c r="O225" s="301"/>
      <c r="P225" s="270"/>
      <c r="Q225" s="270"/>
      <c r="T225" s="14"/>
      <c r="U225" s="396" t="s">
        <v>106</v>
      </c>
      <c r="V225" s="396"/>
      <c r="W225" s="396"/>
      <c r="X225" s="396"/>
      <c r="Y225" s="396"/>
      <c r="Z225" s="68"/>
      <c r="AA225" s="1"/>
      <c r="AB225" s="1">
        <f>IFERROR(IF('Mon Entreprise'!K8&gt;Annexes!U26,0,IF(AB211=TRUE,IF(AB216=0,0,IF(AB213&lt;AB216*0.2,ROUND(AB213,0),IF(AB216*0.2&gt;=200000,Annexes!S8,ROUND(AB216*0.2,0)))),IF(OR(AB208="OUI",AND(AB209="OUI",OR(AB205&gt;=0.8,AB206&gt;=0.8,AB207&gt;=0.1))),IF(AB214&gt;=0.7,IF(AB213&lt;AB216*0.2,ROUND(AB213,0),IF(AB216*0.2&gt;=200000,Annexes!S8,ROUND(AB216*0.2,0))),IF(AB214&gt;=0.5,IF(AB213&lt;AB216*0.15,ROUND(AB213,0),IF(AB216*0.15&gt;=200000,Annexes!S8,ROUND(AB216*0.15,0))),IF(AND(AB210="OUI",OR(AB205&gt;=0.8,AB206&gt;=0.8,AB207&gt;=0.1),AB214&gt;=0.7),IF(AB213&lt;AB216*0.2,ROUND(AB213,0),IF(AB216*0.2&gt;=200000,Annexes!S8,ROUND(AB216*0.2,0))),0))),IF(AND(AB210="OUI",OR(AB205&gt;=0.8,AB206&gt;=0.8,AB207&gt;=0.1),AB214&gt;=0.7),IF(AB213&lt;AB216*0.2,ROUND(AB213,0),IF(AB216*0.2&gt;=200000,Annexes!S8,ROUND(AB216*0.2,0))),0)))),0)</f>
        <v>0</v>
      </c>
      <c r="AC225" s="1"/>
      <c r="AD225" s="1"/>
      <c r="AE225" s="13"/>
    </row>
    <row r="226" spans="2:31" ht="16.5" customHeight="1">
      <c r="B226" s="103"/>
      <c r="C226" s="281"/>
      <c r="D226" s="384" t="str">
        <f>IF(AB211=TRUE,"- L'entreprise peut bénéficier d'une aide de 20 % du CA de référence, plafonnée à 200 000 €",IF(OR(AB208="OUI",AND(AB209="OUI",OR(AB205&gt;=0.8,AB206&gt;=0.8,AB207&gt;=0.1))),IF(AB214&gt;=0.7,"- L'entreprise peut bénéficier d'une aide de 20 % du CA de référence, plafonnée à 200 000 €",IF(AB214&gt;=0.5,"- L'entreprise peut bénéficier d'une aide de 15 % du CA de référence, plafonnée à 200 000 €","- L'entreprise n'a subi ni de fermeture administrative au mois de Janvier, ni de perte d'au moins 50 % de son CA")),IF(AND(AB210="OUI",OR(AB205&gt;=0.8,AB206&gt;=0.8,AB207&gt;=0.1),AB214&gt;=0.5),"-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6" s="384"/>
      <c r="F226" s="384"/>
      <c r="G226" s="384"/>
      <c r="H226" s="384"/>
      <c r="I226" s="384"/>
      <c r="J226" s="384"/>
      <c r="K226" s="384"/>
      <c r="L226" s="384"/>
      <c r="M226" s="384"/>
      <c r="N226" s="384"/>
      <c r="O226" s="384"/>
      <c r="P226" s="270"/>
      <c r="Q226" s="270"/>
      <c r="T226" s="14"/>
      <c r="U226" s="1"/>
      <c r="V226" s="1"/>
      <c r="W226" s="1"/>
      <c r="X226" s="1"/>
      <c r="Y226" s="1"/>
      <c r="Z226" s="1"/>
      <c r="AA226" s="1"/>
      <c r="AB226" s="1"/>
      <c r="AC226" s="1"/>
      <c r="AD226" s="1"/>
      <c r="AE226" s="13"/>
    </row>
    <row r="227" spans="2:31" ht="16.5" customHeight="1">
      <c r="B227" s="169"/>
      <c r="C227" s="281"/>
      <c r="D227" s="384"/>
      <c r="E227" s="384"/>
      <c r="F227" s="384"/>
      <c r="G227" s="384"/>
      <c r="H227" s="384"/>
      <c r="I227" s="384"/>
      <c r="J227" s="384"/>
      <c r="K227" s="384"/>
      <c r="L227" s="384"/>
      <c r="M227" s="384"/>
      <c r="N227" s="384"/>
      <c r="O227" s="384"/>
      <c r="P227" s="270"/>
      <c r="Q227" s="270"/>
      <c r="T227" s="14"/>
      <c r="U227" s="1"/>
      <c r="V227" s="1"/>
      <c r="W227" s="1"/>
      <c r="X227" s="1"/>
      <c r="Y227" s="1"/>
      <c r="Z227" s="1"/>
      <c r="AA227" s="1"/>
      <c r="AB227" s="1"/>
      <c r="AC227" s="1"/>
      <c r="AD227" s="1"/>
      <c r="AE227" s="13"/>
    </row>
    <row r="228" spans="2:31" ht="16.5" customHeight="1" thickBot="1">
      <c r="B228" s="169"/>
      <c r="C228" s="281"/>
      <c r="D228" s="207"/>
      <c r="E228" s="270"/>
      <c r="F228" s="270"/>
      <c r="G228" s="270"/>
      <c r="H228" s="270"/>
      <c r="I228" s="270"/>
      <c r="J228" s="270"/>
      <c r="K228" s="270"/>
      <c r="L228" s="270"/>
      <c r="M228" s="270"/>
      <c r="N228" s="270"/>
      <c r="O228" s="270"/>
      <c r="P228" s="270"/>
      <c r="Q228" s="270"/>
      <c r="T228" s="14"/>
      <c r="U228" s="1"/>
      <c r="V228" s="1"/>
      <c r="W228" s="1"/>
      <c r="X228" s="1"/>
      <c r="Y228" s="1"/>
      <c r="Z228" s="1"/>
      <c r="AA228" s="1"/>
      <c r="AB228" s="1"/>
      <c r="AC228" s="1"/>
      <c r="AD228" s="1"/>
      <c r="AE228" s="13"/>
    </row>
    <row r="229" spans="2:31" ht="16.5" customHeight="1">
      <c r="B229" s="103"/>
      <c r="C229" s="181"/>
      <c r="D229" s="409" t="str">
        <f>IFERROR(IF('Mon Entreprise'!K8&gt;Annexes!U26,"Vous avez débuté votre activité après le 31 Octobre 2020, vous ne pouvez donc pas bénéficier de cette aide",IF(AB211=TRUE,IF(AB216=0,"Vous n'avez pas indiqué de chiffre d'affaires de référence",IF(AB213&lt;AB216*0.2,"Dans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Janvier"))),IF(OR(AB208="OUI",AND(AB209="OUI",OR(AB205&gt;=0.8,AB206&gt;=0.8,AB207&gt;=0.1))),IF(AB214&gt;=0.7,IF(AB213&lt;AB216*0.2,"Dans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Janvier")),IF(AB214&gt;=0.5,IF(AB213&lt;AB216*0.15,"Dans votre cas, la perte est inférieure à 15 % du CA, l'aide est donc plafonnée à la perte, soit "&amp;ROUND(AB213,0)&amp;" € pour le mois de Janvier",IF(AB216*0.15&gt;=200000,"Dans votre cas, l'aide est plafonnée, à "&amp;Annexes!S8&amp;" € pour le mois de Janvier","Vous pouvez bénéficier, au titre de cette aide, d'un montant de "&amp;ROUND(AB216*0.15,0)&amp;" € pour le mois de Janvier")),IF(AND(AB210="OUI",OR(AB205&gt;=0.8,AB206&gt;=0.8,AB207&gt;=0.1),AB214&gt;=0.7),IF(AB213&lt;AB216*0.2,"Dans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Janvier")),"L'entreprise ne fait ni partie des fermetures administratives au mois de Janvier, ni des activités mentionnées en annexe 1 (S1) ou 2 (S1 bis) avec 50 % de perte en Janvier ou 3 avec 70 % de Perte en Janvier"))),IF(AND(AB210="OUI",OR(AB205&gt;=0.8,AB206&gt;=0.8,AB207&gt;=0.1),AB214&gt;=0.7),IF(AB213&lt;AB216*0.2,"Dans votre cas, la perte est inférieure à 20 % du CA, l'aide est donc plafonnée à la perte, soit "&amp;ROUND(AB213,0)&amp;" € pour le mois de Janvier",IF(AB216*0.2&gt;=200000,"Dans votre cas, l'aide est plafonnée, à "&amp;Annexes!S8&amp;" € pour le mois de Janvier","Vous pouvez bénéficier, au titre de cette aide, d'un montant de "&amp;ROUND(AB216*0.2,0)&amp;"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9" s="401"/>
      <c r="F229" s="401"/>
      <c r="G229" s="401"/>
      <c r="H229" s="401"/>
      <c r="I229" s="401"/>
      <c r="J229" s="401"/>
      <c r="K229" s="401"/>
      <c r="L229" s="401"/>
      <c r="M229" s="401"/>
      <c r="N229" s="401"/>
      <c r="O229" s="402"/>
      <c r="P229" s="270"/>
      <c r="Q229" s="270"/>
      <c r="T229" s="14"/>
      <c r="U229" s="1"/>
      <c r="V229" s="1"/>
      <c r="W229" s="1"/>
      <c r="X229" s="1"/>
      <c r="Y229" s="1"/>
      <c r="Z229" s="1"/>
      <c r="AA229" s="1"/>
      <c r="AB229" s="1"/>
      <c r="AC229" s="1"/>
      <c r="AD229" s="1"/>
      <c r="AE229" s="13"/>
    </row>
    <row r="230" spans="2:31" ht="16.5" customHeight="1">
      <c r="B230" s="103"/>
      <c r="C230" s="181"/>
      <c r="D230" s="403"/>
      <c r="E230" s="404"/>
      <c r="F230" s="404"/>
      <c r="G230" s="404"/>
      <c r="H230" s="404"/>
      <c r="I230" s="404"/>
      <c r="J230" s="404"/>
      <c r="K230" s="404"/>
      <c r="L230" s="404"/>
      <c r="M230" s="404"/>
      <c r="N230" s="404"/>
      <c r="O230" s="405"/>
      <c r="P230" s="270"/>
      <c r="Q230" s="270"/>
      <c r="T230" s="14"/>
      <c r="U230" s="1"/>
      <c r="V230" s="1"/>
      <c r="W230" s="1"/>
      <c r="X230" s="1"/>
      <c r="Y230" s="1"/>
      <c r="Z230" s="1"/>
      <c r="AA230" s="1"/>
      <c r="AB230" s="1"/>
      <c r="AC230" s="1"/>
      <c r="AD230" s="1"/>
      <c r="AE230" s="13"/>
    </row>
    <row r="231" spans="2:31" ht="16.5" customHeight="1">
      <c r="B231" s="103"/>
      <c r="C231" s="181"/>
      <c r="D231" s="403"/>
      <c r="E231" s="404"/>
      <c r="F231" s="404"/>
      <c r="G231" s="404"/>
      <c r="H231" s="404"/>
      <c r="I231" s="404"/>
      <c r="J231" s="404"/>
      <c r="K231" s="404"/>
      <c r="L231" s="404"/>
      <c r="M231" s="404"/>
      <c r="N231" s="404"/>
      <c r="O231" s="405"/>
      <c r="P231" s="176"/>
      <c r="Q231" s="176"/>
      <c r="T231" s="14"/>
      <c r="U231" s="1"/>
      <c r="V231" s="1"/>
      <c r="W231" s="1"/>
      <c r="X231" s="1"/>
      <c r="Y231" s="1"/>
      <c r="Z231" s="1"/>
      <c r="AA231" s="1"/>
      <c r="AB231" s="1"/>
      <c r="AC231" s="1"/>
      <c r="AD231" s="1"/>
      <c r="AE231" s="13"/>
    </row>
    <row r="232" spans="2:31" ht="16.5" customHeight="1" thickBot="1">
      <c r="B232" s="103"/>
      <c r="C232" s="181"/>
      <c r="D232" s="406"/>
      <c r="E232" s="407"/>
      <c r="F232" s="407"/>
      <c r="G232" s="407"/>
      <c r="H232" s="407"/>
      <c r="I232" s="407"/>
      <c r="J232" s="407"/>
      <c r="K232" s="407"/>
      <c r="L232" s="407"/>
      <c r="M232" s="407"/>
      <c r="N232" s="407"/>
      <c r="O232" s="408"/>
      <c r="T232" s="14"/>
      <c r="U232" s="1"/>
      <c r="V232" s="1"/>
      <c r="W232" s="1"/>
      <c r="X232" s="1"/>
      <c r="Y232" s="1"/>
      <c r="Z232" s="1"/>
      <c r="AA232" s="1"/>
      <c r="AB232" s="1"/>
      <c r="AC232" s="1"/>
      <c r="AD232" s="1"/>
      <c r="AE232" s="13"/>
    </row>
    <row r="233" spans="2:31">
      <c r="B233" s="5"/>
      <c r="C233" s="5"/>
      <c r="D233" s="261"/>
      <c r="E233" s="261"/>
      <c r="F233" s="261"/>
      <c r="G233" s="261"/>
      <c r="H233" s="261"/>
      <c r="I233" s="261"/>
      <c r="J233" s="261"/>
      <c r="K233" s="261"/>
      <c r="L233" s="261"/>
      <c r="M233" s="261"/>
      <c r="N233" s="261"/>
      <c r="O233" s="261"/>
      <c r="P233" s="178"/>
      <c r="Q233" s="178"/>
      <c r="T233" s="14"/>
      <c r="U233" s="1"/>
      <c r="V233" s="1"/>
      <c r="W233" s="1"/>
      <c r="X233" s="1"/>
      <c r="Y233" s="1"/>
      <c r="Z233" s="1"/>
      <c r="AA233" s="1"/>
      <c r="AB233" s="1"/>
      <c r="AC233" s="1"/>
      <c r="AD233" s="1"/>
      <c r="AE233" s="13"/>
    </row>
    <row r="234" spans="2:31">
      <c r="B234" s="5"/>
      <c r="C234" s="5"/>
      <c r="D234" s="261"/>
      <c r="E234" s="261"/>
      <c r="F234" s="261"/>
      <c r="G234" s="261"/>
      <c r="H234" s="261"/>
      <c r="I234" s="261"/>
      <c r="J234" s="261"/>
      <c r="K234" s="261"/>
      <c r="L234" s="261"/>
      <c r="M234" s="261"/>
      <c r="N234" s="261"/>
      <c r="O234" s="261"/>
      <c r="P234" s="178"/>
      <c r="Q234" s="178"/>
      <c r="T234" s="14"/>
      <c r="U234" s="1"/>
      <c r="V234" s="1"/>
      <c r="W234" s="1"/>
      <c r="X234" s="1"/>
      <c r="Y234" s="1"/>
      <c r="Z234" s="1"/>
      <c r="AA234" s="1"/>
      <c r="AB234" s="1"/>
      <c r="AC234" s="1"/>
      <c r="AD234" s="1"/>
      <c r="AE234" s="13"/>
    </row>
    <row r="235" spans="2:31" ht="15" customHeight="1" thickBot="1">
      <c r="B235" s="225"/>
      <c r="C235" s="414" t="s">
        <v>316</v>
      </c>
      <c r="D235" s="414"/>
      <c r="E235" s="414"/>
      <c r="F235" s="414"/>
      <c r="G235" s="414"/>
      <c r="H235" s="414"/>
      <c r="I235" s="226"/>
      <c r="J235" s="226"/>
      <c r="K235" s="226"/>
      <c r="L235" s="226"/>
      <c r="M235" s="226"/>
      <c r="N235" s="226"/>
      <c r="O235" s="226"/>
      <c r="T235" s="15"/>
      <c r="U235" s="10"/>
      <c r="V235" s="10"/>
      <c r="W235" s="10"/>
      <c r="X235" s="10"/>
      <c r="Y235" s="10"/>
      <c r="Z235" s="10"/>
      <c r="AA235" s="10"/>
      <c r="AB235" s="10"/>
      <c r="AC235" s="10"/>
      <c r="AD235" s="10"/>
      <c r="AE235" s="4"/>
    </row>
    <row r="236" spans="2:31" ht="15" customHeight="1">
      <c r="B236" s="63"/>
      <c r="C236" s="24"/>
      <c r="D236" s="24"/>
      <c r="E236" s="24"/>
      <c r="F236" s="24"/>
      <c r="G236" s="24"/>
      <c r="H236" s="63"/>
      <c r="I236" s="1"/>
      <c r="J236" s="1"/>
      <c r="K236" s="1"/>
      <c r="L236" s="1"/>
      <c r="M236" s="1"/>
      <c r="N236" s="1"/>
      <c r="O236" s="1"/>
      <c r="T236" s="16"/>
      <c r="U236" s="11"/>
      <c r="V236" s="11"/>
      <c r="W236" s="11"/>
      <c r="X236" s="11"/>
      <c r="Y236" s="11"/>
      <c r="Z236" s="11"/>
      <c r="AA236" s="11"/>
      <c r="AB236" s="11"/>
      <c r="AC236" s="11"/>
      <c r="AD236" s="11"/>
      <c r="AE236" s="12"/>
    </row>
    <row r="237" spans="2:31" ht="15.75" customHeight="1">
      <c r="B237" s="103"/>
      <c r="C237" s="385" t="s">
        <v>319</v>
      </c>
      <c r="D237" s="385"/>
      <c r="E237" s="385"/>
      <c r="F237" s="385"/>
      <c r="G237" s="385"/>
      <c r="H237" s="385"/>
      <c r="I237" s="385"/>
      <c r="J237" s="385"/>
      <c r="K237" s="385"/>
      <c r="L237" s="385"/>
      <c r="M237" s="385"/>
      <c r="N237" s="385"/>
      <c r="O237" s="385"/>
      <c r="P237" s="1"/>
      <c r="T237" s="14"/>
      <c r="U237" s="1"/>
      <c r="V237" s="1"/>
      <c r="W237" s="1"/>
      <c r="X237" s="1"/>
      <c r="Y237" s="1"/>
      <c r="Z237" s="1"/>
      <c r="AA237" s="1"/>
      <c r="AB237" s="1"/>
      <c r="AC237" s="1"/>
      <c r="AD237" s="1"/>
      <c r="AE237" s="13"/>
    </row>
    <row r="238" spans="2:31" ht="15.75">
      <c r="B238" s="103"/>
      <c r="C238" s="281"/>
      <c r="D238" s="60" t="s">
        <v>130</v>
      </c>
      <c r="E238" s="281"/>
      <c r="F238" s="281"/>
      <c r="G238" s="281"/>
      <c r="H238" s="281"/>
      <c r="I238" s="281"/>
      <c r="J238" s="281"/>
      <c r="K238" s="281"/>
      <c r="L238" s="281"/>
      <c r="M238" s="281"/>
      <c r="N238" s="281"/>
      <c r="O238" s="281"/>
      <c r="P238" s="1"/>
      <c r="T238" s="25"/>
      <c r="U238" s="379" t="s">
        <v>20</v>
      </c>
      <c r="V238" s="379"/>
      <c r="W238" s="379"/>
      <c r="X238" s="1"/>
      <c r="Y238" s="282" t="s">
        <v>6</v>
      </c>
      <c r="Z238" s="282"/>
      <c r="AA238" s="282"/>
      <c r="AB238" s="282" t="s">
        <v>23</v>
      </c>
      <c r="AC238" s="282"/>
      <c r="AD238" s="282"/>
      <c r="AE238" s="26" t="s">
        <v>24</v>
      </c>
    </row>
    <row r="239" spans="2:31" ht="16.5" hidden="1" thickBot="1">
      <c r="B239" s="103"/>
      <c r="C239" s="281"/>
      <c r="D239" s="60"/>
      <c r="E239" s="281"/>
      <c r="F239" s="281"/>
      <c r="G239" s="281"/>
      <c r="H239" s="281"/>
      <c r="I239" s="281"/>
      <c r="J239" s="281"/>
      <c r="K239" s="281"/>
      <c r="L239" s="281"/>
      <c r="M239" s="281"/>
      <c r="N239" s="281"/>
      <c r="O239" s="281"/>
      <c r="P239" s="1"/>
      <c r="T239" s="25"/>
      <c r="U239" s="282"/>
      <c r="V239" s="282"/>
      <c r="W239" s="282"/>
      <c r="X239" s="1"/>
      <c r="Y239" s="282"/>
      <c r="Z239" s="282"/>
      <c r="AA239" s="282"/>
      <c r="AB239" s="282"/>
      <c r="AC239" s="282"/>
      <c r="AD239" s="282"/>
      <c r="AE239" s="26"/>
    </row>
    <row r="240" spans="2:31" ht="15.75" hidden="1" customHeight="1">
      <c r="B240" s="103"/>
      <c r="C240" s="281"/>
      <c r="D240" s="386" t="str">
        <f>IFERROR(IF(AND(AB275=0,AB276=0,AB277=0),"Vous ne pouvez pas bénéficier du fonds de solidarité pour le mois de Février 2021",IF(AND(AB277&gt;AB276,AB277&gt;AB275),"Votre entreprise peut bénéficier d'une aide de "&amp;AB277&amp;" €, au titre d'une fermeture Administrative avec une perte de 20 % de CA, ou d'une perte d'au moins 50 % ou 70 % du CA pour les activités mentionnées en annexe 1,"&amp;" ou d'une perte d'au moins 70 % du CA pour les activités mentionnées en annexe 2 ou 3 ou dans un centre commercial",IF(AB276&gt;AB275,"Votre entreprise peut bénéficier d'une aide de "&amp;AB276&amp;" €, au titre d'une fermeture Administrative avec une êrte de 20 % du CA, ou d'une perte d'au moins 50 % du CA pour les activités mentionnées en annexe 1,"&amp;" ou en annexe 2 ou 3 ou dans un centre commercial ayant une perte de CA d'au moins 80 % entre le 15/03/2020 et le 15/05/2020 ou au moins de Novembre 2020","Votre entreprise peut bénéficier d'une aide de "&amp;AB275&amp;" €, au titre d'une perte d'au-moins 50 % de votre CA en Février 2021"))),"Vous n'avez pas indiqué de chiffre d'affaires de référence")</f>
        <v>Vous ne pouvez pas bénéficier du fonds de solidarité pour le mois de Février 2021</v>
      </c>
      <c r="E240" s="387"/>
      <c r="F240" s="387"/>
      <c r="G240" s="387"/>
      <c r="H240" s="387"/>
      <c r="I240" s="387"/>
      <c r="J240" s="387"/>
      <c r="K240" s="387"/>
      <c r="L240" s="387"/>
      <c r="M240" s="387"/>
      <c r="N240" s="387"/>
      <c r="O240" s="388"/>
      <c r="P240" s="1"/>
      <c r="T240" s="378" t="s">
        <v>318</v>
      </c>
      <c r="U240" s="379"/>
      <c r="V240" s="379"/>
      <c r="W240" s="379"/>
      <c r="X240" s="1"/>
      <c r="Y240" s="7">
        <f>'Mon Entreprise'!I89</f>
        <v>0</v>
      </c>
      <c r="Z240" s="133"/>
      <c r="AA240" s="21"/>
      <c r="AB240" s="7">
        <f>IF('Mon Entreprise'!I89-'Mon Entreprise'!M89&lt;0,0,'Mon Entreprise'!I89-'Mon Entreprise'!M89)</f>
        <v>0</v>
      </c>
      <c r="AC240" s="13"/>
      <c r="AD240" s="1"/>
      <c r="AE240" s="27">
        <f>IFERROR(1-'Mon Entreprise'!M89/'Mon Entreprise'!I89,0)</f>
        <v>0</v>
      </c>
    </row>
    <row r="241" spans="2:31" ht="15.75" hidden="1" customHeight="1">
      <c r="B241" s="103"/>
      <c r="C241" s="281"/>
      <c r="D241" s="389"/>
      <c r="E241" s="390"/>
      <c r="F241" s="390"/>
      <c r="G241" s="390"/>
      <c r="H241" s="390"/>
      <c r="I241" s="390"/>
      <c r="J241" s="390"/>
      <c r="K241" s="390"/>
      <c r="L241" s="390"/>
      <c r="M241" s="390"/>
      <c r="N241" s="390"/>
      <c r="O241" s="391"/>
      <c r="P241" s="1"/>
      <c r="T241" s="378" t="s">
        <v>25</v>
      </c>
      <c r="U241" s="379"/>
      <c r="V241" s="379"/>
      <c r="W241" s="379"/>
      <c r="X241" s="1"/>
      <c r="Y241" s="7">
        <f>'Mon Entreprise'!I63</f>
        <v>0</v>
      </c>
      <c r="Z241" s="133"/>
      <c r="AA241" s="21"/>
      <c r="AB241" s="7">
        <f>IF('Mon Entreprise'!I63-'Mon Entreprise'!M89&lt;0,0,'Mon Entreprise'!I63-'Mon Entreprise'!M89)</f>
        <v>0</v>
      </c>
      <c r="AC241" s="36"/>
      <c r="AD241" s="1"/>
      <c r="AE241" s="27">
        <f>IFERROR(1-'Mon Entreprise'!M89/'Mon Entreprise'!I63,0)</f>
        <v>0</v>
      </c>
    </row>
    <row r="242" spans="2:31" ht="15.75" hidden="1" customHeight="1">
      <c r="B242" s="103"/>
      <c r="C242" s="281"/>
      <c r="D242" s="389"/>
      <c r="E242" s="390"/>
      <c r="F242" s="390"/>
      <c r="G242" s="390"/>
      <c r="H242" s="390"/>
      <c r="I242" s="390"/>
      <c r="J242" s="390"/>
      <c r="K242" s="390"/>
      <c r="L242" s="390"/>
      <c r="M242" s="390"/>
      <c r="N242" s="390"/>
      <c r="O242" s="391"/>
      <c r="P242" s="1"/>
      <c r="T242" s="395" t="s">
        <v>22</v>
      </c>
      <c r="U242" s="396"/>
      <c r="V242" s="396"/>
      <c r="W242" s="396"/>
      <c r="X242" s="139"/>
      <c r="Y242" s="140" t="str">
        <f>IF('Mon Entreprise'!I98="","NC",'Mon Entreprise'!I98)</f>
        <v>NC</v>
      </c>
      <c r="Z242" s="193"/>
      <c r="AA242" s="194"/>
      <c r="AB242" s="143" t="str">
        <f>IFERROR(IF('Mon Entreprise'!I98-'Mon Entreprise'!M89&lt;0,0,'Mon Entreprise'!I98-'Mon Entreprise'!M89),"NC")</f>
        <v>NC</v>
      </c>
      <c r="AC242" s="195"/>
      <c r="AD242" s="139"/>
      <c r="AE242" s="146" t="str">
        <f>IFERROR(1-'Mon Entreprise'!M89/'Mon Entreprise'!I98,"NC")</f>
        <v>NC</v>
      </c>
    </row>
    <row r="243" spans="2:31" ht="15.75" hidden="1" customHeight="1">
      <c r="B243" s="103"/>
      <c r="C243" s="281"/>
      <c r="D243" s="389"/>
      <c r="E243" s="390"/>
      <c r="F243" s="390"/>
      <c r="G243" s="390"/>
      <c r="H243" s="390"/>
      <c r="I243" s="390"/>
      <c r="J243" s="390"/>
      <c r="K243" s="390"/>
      <c r="L243" s="390"/>
      <c r="M243" s="390"/>
      <c r="N243" s="390"/>
      <c r="O243" s="391"/>
      <c r="P243" s="1"/>
      <c r="T243" s="14"/>
      <c r="U243" s="1"/>
      <c r="V243" s="1"/>
      <c r="W243" s="1"/>
      <c r="X243" s="1"/>
      <c r="Y243" s="1"/>
      <c r="Z243" s="1"/>
      <c r="AA243" s="1"/>
      <c r="AB243" s="1"/>
      <c r="AC243" s="1"/>
      <c r="AD243" s="1"/>
      <c r="AE243" s="13"/>
    </row>
    <row r="244" spans="2:31" ht="16.5" hidden="1" customHeight="1" thickBot="1">
      <c r="B244" s="103"/>
      <c r="C244" s="281"/>
      <c r="D244" s="392"/>
      <c r="E244" s="393"/>
      <c r="F244" s="393"/>
      <c r="G244" s="393"/>
      <c r="H244" s="393"/>
      <c r="I244" s="393"/>
      <c r="J244" s="393"/>
      <c r="K244" s="393"/>
      <c r="L244" s="393"/>
      <c r="M244" s="393"/>
      <c r="N244" s="393"/>
      <c r="O244" s="394"/>
      <c r="P244" s="1"/>
      <c r="T244" s="14"/>
      <c r="AC244" s="1"/>
      <c r="AD244" s="1"/>
      <c r="AE244" s="13"/>
    </row>
    <row r="245" spans="2:31" ht="15.75" hidden="1">
      <c r="B245" s="103"/>
      <c r="C245" s="281"/>
      <c r="D245" s="60"/>
      <c r="E245" s="281"/>
      <c r="F245" s="281"/>
      <c r="G245" s="281"/>
      <c r="H245" s="281"/>
      <c r="I245" s="281"/>
      <c r="J245" s="281"/>
      <c r="K245" s="281"/>
      <c r="L245" s="281"/>
      <c r="M245" s="281"/>
      <c r="N245" s="281"/>
      <c r="O245" s="281"/>
      <c r="P245" s="1"/>
      <c r="T245" s="14"/>
      <c r="AC245" s="1"/>
      <c r="AD245" s="1"/>
      <c r="AE245" s="13"/>
    </row>
    <row r="246" spans="2:31" ht="15.75">
      <c r="B246" s="103"/>
      <c r="C246" s="78"/>
      <c r="D246" s="78"/>
      <c r="E246" s="78"/>
      <c r="F246" s="78"/>
      <c r="G246" s="78"/>
      <c r="H246" s="78"/>
      <c r="I246" s="78"/>
      <c r="J246" s="78"/>
      <c r="K246" s="78"/>
      <c r="L246" s="78"/>
      <c r="M246" s="78"/>
      <c r="N246" s="78"/>
      <c r="O246" s="78"/>
      <c r="P246" s="1"/>
      <c r="T246" s="14"/>
      <c r="AC246" s="1"/>
      <c r="AD246" s="1"/>
      <c r="AE246" s="13"/>
    </row>
    <row r="247" spans="2:31" ht="15.75">
      <c r="B247" s="103"/>
      <c r="C247" s="281"/>
      <c r="D247" s="60"/>
      <c r="E247" s="281"/>
      <c r="F247" s="281"/>
      <c r="G247" s="281"/>
      <c r="H247" s="281"/>
      <c r="I247" s="281"/>
      <c r="J247" s="281"/>
      <c r="K247" s="281"/>
      <c r="L247" s="281"/>
      <c r="M247" s="281"/>
      <c r="N247" s="281"/>
      <c r="O247" s="281"/>
      <c r="P247" s="1"/>
      <c r="T247" s="14"/>
      <c r="U247" s="1"/>
      <c r="V247" s="1"/>
      <c r="W247" s="1"/>
      <c r="X247" s="1"/>
      <c r="Y247" s="1"/>
      <c r="Z247" s="1"/>
      <c r="AA247" s="1"/>
      <c r="AB247" s="1"/>
      <c r="AC247" s="1"/>
      <c r="AD247" s="1"/>
      <c r="AE247" s="13"/>
    </row>
    <row r="248" spans="2:31" ht="15.75">
      <c r="B248" s="103"/>
      <c r="C248" s="281" t="s">
        <v>317</v>
      </c>
      <c r="D248" s="60"/>
      <c r="E248" s="281"/>
      <c r="F248" s="281"/>
      <c r="G248" s="281"/>
      <c r="H248" s="281"/>
      <c r="I248" s="281"/>
      <c r="J248" s="281"/>
      <c r="K248" s="281"/>
      <c r="L248" s="281"/>
      <c r="M248" s="281"/>
      <c r="N248" s="281"/>
      <c r="O248" s="281"/>
      <c r="P248" s="1"/>
      <c r="T248" s="14"/>
      <c r="U248" s="377" t="s">
        <v>74</v>
      </c>
      <c r="V248" s="377"/>
      <c r="W248" s="377"/>
      <c r="X248" s="377"/>
      <c r="Y248" s="377"/>
      <c r="Z248" s="1"/>
      <c r="AA248" s="14"/>
      <c r="AB248" s="278" t="str">
        <f>IF('Mon Entreprise'!K8&lt;=Annexes!U24,"Oui","Non")</f>
        <v>Oui</v>
      </c>
      <c r="AC248" s="1"/>
      <c r="AD248" s="1"/>
      <c r="AE248" s="13"/>
    </row>
    <row r="249" spans="2:31" ht="15.75">
      <c r="B249" s="169"/>
      <c r="C249" s="281"/>
      <c r="D249" s="60" t="str">
        <f>IFERROR(IF('Mon Entreprise'!K8&gt;=Annexes!S20,IF(AB240&gt;=AB242,"Le CA de référence est celui de Février 2019, soit une perte de "&amp;ROUND(AB240,0)&amp;" €"&amp;" ==&gt; "&amp;ROUND(AE240*100,0)&amp;" %","Le CA de référence est celui de la création, soit une perte de "&amp;ROUND(AB242,0)&amp;" €"&amp;" ==&gt; "&amp;ROUND(AE242*100,0)&amp;" %"),IF(AB240&gt;=AB241,"Le CA de référence est celui de Février 2019, soit une perte de "&amp;ROUND(AB240,0)&amp;" €"&amp;" ==&gt; "&amp;ROUND(AE240*100,0)&amp;" %","Le CA de référence est celui de de l'exercice 2019, soit une perte de "&amp;ROUND(AB241,0)&amp;" €"&amp;" ==&gt; "&amp;ROUND(AE241*100,0)&amp;" %")),"")</f>
        <v>Le CA de référence est celui de Février 2019, soit une perte de 0 € ==&gt; 0 %</v>
      </c>
      <c r="E249" s="281"/>
      <c r="F249" s="281"/>
      <c r="G249" s="281"/>
      <c r="H249" s="281"/>
      <c r="I249" s="281"/>
      <c r="J249" s="281"/>
      <c r="K249" s="281"/>
      <c r="L249" s="281"/>
      <c r="M249" s="281"/>
      <c r="N249" s="281"/>
      <c r="O249" s="281"/>
      <c r="P249" s="1"/>
      <c r="T249" s="14"/>
      <c r="U249" s="377" t="s">
        <v>87</v>
      </c>
      <c r="V249" s="377"/>
      <c r="W249" s="377"/>
      <c r="X249" s="377"/>
      <c r="Y249" s="377"/>
      <c r="Z249" s="1"/>
      <c r="AA249" s="14"/>
      <c r="AB249" s="276">
        <f>IF('Mon Entreprise'!K8&gt;=Annexes!S20,IF(AB240&gt;=AB242,AB240,AB242),IF(AB240&gt;=AB241,AB240,AB241))</f>
        <v>0</v>
      </c>
      <c r="AC249" s="1"/>
      <c r="AD249" s="1"/>
      <c r="AE249" s="13"/>
    </row>
    <row r="250" spans="2:31" ht="16.5" thickBot="1">
      <c r="B250" s="103"/>
      <c r="C250" s="281"/>
      <c r="D250" s="60"/>
      <c r="E250" s="281"/>
      <c r="F250" s="281"/>
      <c r="G250" s="281"/>
      <c r="H250" s="281"/>
      <c r="I250" s="281"/>
      <c r="J250" s="281"/>
      <c r="K250" s="281"/>
      <c r="L250" s="281"/>
      <c r="M250" s="281"/>
      <c r="N250" s="281"/>
      <c r="O250" s="281"/>
      <c r="P250" s="1"/>
      <c r="T250" s="14"/>
      <c r="U250" s="377" t="s">
        <v>88</v>
      </c>
      <c r="V250" s="377"/>
      <c r="W250" s="377"/>
      <c r="X250" s="377"/>
      <c r="Y250" s="377"/>
      <c r="Z250" s="1"/>
      <c r="AA250" s="14"/>
      <c r="AB250" s="19">
        <f>IF('Mon Entreprise'!K8&gt;=Annexes!S20,IF(AB240&gt;=AB242,AE240,AE242),IF(AB240&gt;=AB241,AE240,AE241))</f>
        <v>0</v>
      </c>
      <c r="AC250" s="1"/>
      <c r="AD250" s="1"/>
      <c r="AE250" s="13"/>
    </row>
    <row r="251" spans="2:31" ht="15.75" customHeight="1">
      <c r="B251" s="169"/>
      <c r="C251" s="281"/>
      <c r="D251" s="400" t="str">
        <f>IFERROR(IF(AB248="Non","Vous avez débuté votre activité après le 31 Octobre 2020, vous ne pouvez donc pas bénéficier de cette aide",IF(AB250&gt;=0.5,IF(AB249&gt;Annexes!S5,"Dans votre cas, l'aide est Plafonnée, à "&amp;Annexes!S5&amp;" € pour le mois de Février","Vous pouvez bénéficier, au titre de cette aide, d'un montant de "&amp;ROUND(AB249,0)&amp;" € pour le mois de Février"),"L'entreprise n'a pas une perte d'au moins 50 % en Février 2021")),"Vous n'avez pas indiqué de chiffre d'affaires de référence")</f>
        <v>L'entreprise n'a pas une perte d'au moins 50 % en Février 2021</v>
      </c>
      <c r="E251" s="401"/>
      <c r="F251" s="401"/>
      <c r="G251" s="401"/>
      <c r="H251" s="401"/>
      <c r="I251" s="401"/>
      <c r="J251" s="401"/>
      <c r="K251" s="401"/>
      <c r="L251" s="401"/>
      <c r="M251" s="401"/>
      <c r="N251" s="401"/>
      <c r="O251" s="402"/>
      <c r="P251" s="1"/>
      <c r="T251" s="14"/>
      <c r="U251" s="1"/>
      <c r="V251" s="1"/>
      <c r="W251" s="1"/>
      <c r="X251" s="1"/>
      <c r="Y251" s="1"/>
      <c r="Z251" s="1"/>
      <c r="AA251" s="1"/>
      <c r="AB251" s="1"/>
      <c r="AC251" s="1"/>
      <c r="AD251" s="1"/>
      <c r="AE251" s="13"/>
    </row>
    <row r="252" spans="2:31" ht="15.75" customHeight="1">
      <c r="B252" s="169"/>
      <c r="C252" s="281"/>
      <c r="D252" s="403"/>
      <c r="E252" s="404"/>
      <c r="F252" s="404"/>
      <c r="G252" s="404"/>
      <c r="H252" s="404"/>
      <c r="I252" s="404"/>
      <c r="J252" s="404"/>
      <c r="K252" s="404"/>
      <c r="L252" s="404"/>
      <c r="M252" s="404"/>
      <c r="N252" s="404"/>
      <c r="O252" s="405"/>
      <c r="P252" s="1"/>
      <c r="T252" s="14"/>
      <c r="U252" s="1"/>
      <c r="V252" s="1"/>
      <c r="W252" s="1"/>
      <c r="X252" s="1"/>
      <c r="Y252" s="1"/>
      <c r="Z252" s="1"/>
      <c r="AA252" s="1"/>
      <c r="AB252" s="1"/>
      <c r="AC252" s="1"/>
      <c r="AD252" s="1"/>
      <c r="AE252" s="13"/>
    </row>
    <row r="253" spans="2:31" ht="15.75" customHeight="1">
      <c r="B253" s="103"/>
      <c r="C253" s="281"/>
      <c r="D253" s="403"/>
      <c r="E253" s="404"/>
      <c r="F253" s="404"/>
      <c r="G253" s="404"/>
      <c r="H253" s="404"/>
      <c r="I253" s="404"/>
      <c r="J253" s="404"/>
      <c r="K253" s="404"/>
      <c r="L253" s="404"/>
      <c r="M253" s="404"/>
      <c r="N253" s="404"/>
      <c r="O253" s="405"/>
      <c r="P253" s="1"/>
      <c r="T253" s="14"/>
      <c r="U253" s="1"/>
      <c r="V253" s="1"/>
      <c r="W253" s="1"/>
      <c r="X253" s="1"/>
      <c r="Y253" s="1"/>
      <c r="Z253" s="1"/>
      <c r="AA253" s="1"/>
      <c r="AB253" s="1"/>
      <c r="AC253" s="1"/>
      <c r="AD253" s="1"/>
      <c r="AE253" s="13"/>
    </row>
    <row r="254" spans="2:31" ht="16.5" customHeight="1" thickBot="1">
      <c r="B254" s="103"/>
      <c r="C254" s="281"/>
      <c r="D254" s="406"/>
      <c r="E254" s="407"/>
      <c r="F254" s="407"/>
      <c r="G254" s="407"/>
      <c r="H254" s="407"/>
      <c r="I254" s="407"/>
      <c r="J254" s="407"/>
      <c r="K254" s="407"/>
      <c r="L254" s="407"/>
      <c r="M254" s="407"/>
      <c r="N254" s="407"/>
      <c r="O254" s="408"/>
      <c r="P254" s="1"/>
      <c r="T254" s="14"/>
      <c r="U254" s="1"/>
      <c r="V254" s="1"/>
      <c r="W254" s="1"/>
      <c r="X254" s="1"/>
      <c r="Y254" s="1"/>
      <c r="Z254" s="1"/>
      <c r="AA254" s="1"/>
      <c r="AB254" s="1"/>
      <c r="AC254" s="1"/>
      <c r="AD254" s="1"/>
      <c r="AE254" s="13"/>
    </row>
    <row r="255" spans="2:31" ht="16.5" customHeight="1">
      <c r="B255" s="103"/>
      <c r="C255" s="170"/>
      <c r="D255" s="171"/>
      <c r="E255" s="171"/>
      <c r="F255" s="171"/>
      <c r="G255" s="171"/>
      <c r="H255" s="171"/>
      <c r="I255" s="171"/>
      <c r="J255" s="171"/>
      <c r="K255" s="171"/>
      <c r="L255" s="171"/>
      <c r="M255" s="171"/>
      <c r="N255" s="171"/>
      <c r="O255" s="171"/>
      <c r="P255" s="1"/>
      <c r="T255" s="14"/>
      <c r="U255" s="1"/>
      <c r="V255" s="1"/>
      <c r="W255" s="1"/>
      <c r="X255" s="1"/>
      <c r="Y255" s="1"/>
      <c r="Z255" s="1"/>
      <c r="AA255" s="1"/>
      <c r="AB255" s="1"/>
      <c r="AC255" s="1"/>
      <c r="AD255" s="1"/>
      <c r="AE255" s="13"/>
    </row>
    <row r="256" spans="2:31" ht="16.5" customHeight="1">
      <c r="B256" s="103"/>
      <c r="C256" s="281"/>
      <c r="D256" s="277"/>
      <c r="E256" s="277"/>
      <c r="F256" s="277"/>
      <c r="G256" s="277"/>
      <c r="H256" s="277"/>
      <c r="I256" s="277"/>
      <c r="J256" s="277"/>
      <c r="K256" s="277"/>
      <c r="L256" s="277"/>
      <c r="M256" s="277"/>
      <c r="N256" s="277"/>
      <c r="O256" s="277"/>
      <c r="P256" s="1"/>
      <c r="T256" s="411" t="s">
        <v>4</v>
      </c>
      <c r="U256" s="412"/>
      <c r="V256" s="412"/>
      <c r="W256" s="412"/>
      <c r="X256" s="412"/>
      <c r="Y256" s="412"/>
      <c r="Z256" s="139"/>
      <c r="AA256" s="145"/>
      <c r="AB256" s="196">
        <f>IFERROR(IF('Mon Entreprise'!K8&lt;Annexes!U14,IF('Mon Entreprise'!K8&lt;Annexes!S17,IF(IFERROR(1-'Mon Entreprise'!M83/'Mon Entreprise'!I83,0)&gt;=IFERROR(1-'Mon Entreprise'!M83/('Mon Entreprise'!I63*2),0),1-'Mon Entreprise'!M83/'Mon Entreprise'!I83,1-'Mon Entreprise'!M83/('Mon Entreprise'!I63*2)),1-'Mon Entreprise'!M83/'Mon Entreprise'!I126),0),0)</f>
        <v>0</v>
      </c>
      <c r="AC256" s="1"/>
      <c r="AD256" s="1"/>
      <c r="AE256" s="13"/>
    </row>
    <row r="257" spans="1:31" ht="16.5" customHeight="1">
      <c r="B257" s="103"/>
      <c r="C257" s="413" t="s">
        <v>364</v>
      </c>
      <c r="D257" s="413"/>
      <c r="E257" s="413"/>
      <c r="F257" s="413"/>
      <c r="G257" s="413"/>
      <c r="H257" s="413"/>
      <c r="I257" s="413"/>
      <c r="J257" s="413"/>
      <c r="K257" s="413"/>
      <c r="L257" s="413"/>
      <c r="M257" s="413"/>
      <c r="N257" s="413"/>
      <c r="O257" s="413"/>
      <c r="P257" s="1"/>
      <c r="T257" s="110"/>
      <c r="U257" s="399" t="s">
        <v>107</v>
      </c>
      <c r="V257" s="399"/>
      <c r="W257" s="399"/>
      <c r="X257" s="399"/>
      <c r="Y257" s="399"/>
      <c r="Z257" s="139"/>
      <c r="AA257" s="145"/>
      <c r="AB257" s="196">
        <f>IFERROR(IF('Mon Entreprise'!K8&gt;Annexes!U26,0,IF('Mon Entreprise'!K8&gt;=Annexes!U25,1-'Mon Entreprise'!M79/'Mon Entreprise'!M81,IF('Mon Entreprise'!K8&gt;Annexes!U14,1-'Mon Entreprise'!M79/'Mon Entreprise'!I130,'Explication des Calculs'!AB104))),0)</f>
        <v>0</v>
      </c>
      <c r="AC257" s="1"/>
      <c r="AD257" s="1"/>
      <c r="AE257" s="13"/>
    </row>
    <row r="258" spans="1:31" ht="16.5" customHeight="1">
      <c r="B258" s="103"/>
      <c r="C258" s="413"/>
      <c r="D258" s="413"/>
      <c r="E258" s="413"/>
      <c r="F258" s="413"/>
      <c r="G258" s="413"/>
      <c r="H258" s="413"/>
      <c r="I258" s="413"/>
      <c r="J258" s="413"/>
      <c r="K258" s="413"/>
      <c r="L258" s="413"/>
      <c r="M258" s="413"/>
      <c r="N258" s="413"/>
      <c r="O258" s="413"/>
      <c r="P258" s="1"/>
      <c r="T258" s="110"/>
      <c r="U258" s="399" t="s">
        <v>116</v>
      </c>
      <c r="V258" s="399"/>
      <c r="W258" s="399"/>
      <c r="X258" s="399"/>
      <c r="Y258" s="399"/>
      <c r="Z258" s="139"/>
      <c r="AA258" s="145"/>
      <c r="AB258" s="196">
        <f>IFERROR(IF(Annexes!S27&gt;'Mon Entreprise'!K8,1-'Mon Entreprise'!M63/'Mon Entreprise'!I63,0),0)</f>
        <v>0</v>
      </c>
      <c r="AC258" s="1"/>
      <c r="AD258" s="1"/>
      <c r="AE258" s="13"/>
    </row>
    <row r="259" spans="1:31" ht="16.5" customHeight="1">
      <c r="B259" s="103"/>
      <c r="C259" s="413"/>
      <c r="D259" s="413"/>
      <c r="E259" s="413"/>
      <c r="F259" s="413"/>
      <c r="G259" s="413"/>
      <c r="H259" s="413"/>
      <c r="I259" s="413"/>
      <c r="J259" s="413"/>
      <c r="K259" s="413"/>
      <c r="L259" s="413"/>
      <c r="M259" s="413"/>
      <c r="N259" s="413"/>
      <c r="O259" s="413"/>
      <c r="P259" s="1"/>
      <c r="T259" s="110"/>
      <c r="U259" s="285"/>
      <c r="V259" s="285"/>
      <c r="W259" s="285"/>
      <c r="X259" s="285"/>
      <c r="Y259" s="285"/>
      <c r="Z259" s="139"/>
      <c r="AA259" s="145"/>
      <c r="AB259" s="196"/>
      <c r="AC259" s="1"/>
      <c r="AD259" s="1"/>
      <c r="AE259" s="13"/>
    </row>
    <row r="260" spans="1:31" ht="16.5" customHeight="1">
      <c r="B260" s="103"/>
      <c r="C260" s="413"/>
      <c r="D260" s="413"/>
      <c r="E260" s="413"/>
      <c r="F260" s="413"/>
      <c r="G260" s="413"/>
      <c r="H260" s="413"/>
      <c r="I260" s="413"/>
      <c r="J260" s="413"/>
      <c r="K260" s="413"/>
      <c r="L260" s="413"/>
      <c r="M260" s="413"/>
      <c r="N260" s="413"/>
      <c r="O260" s="413"/>
      <c r="P260" s="1"/>
      <c r="T260" s="14"/>
      <c r="U260" s="397" t="s">
        <v>8</v>
      </c>
      <c r="V260" s="397"/>
      <c r="W260" s="397"/>
      <c r="X260" s="397"/>
      <c r="Y260" s="397"/>
      <c r="Z260" s="1"/>
      <c r="AA260" s="14"/>
      <c r="AB260" s="276" t="str">
        <f>IF((AND(Annexes!F5&gt;1,Annexes!F5&lt;=Annexes!H6)),"OUI","NON")</f>
        <v>NON</v>
      </c>
      <c r="AC260" s="1"/>
      <c r="AD260" s="1"/>
      <c r="AE260" s="13"/>
    </row>
    <row r="261" spans="1:31" ht="16.5" customHeight="1">
      <c r="B261" s="103"/>
      <c r="C261" s="281"/>
      <c r="D261" s="277"/>
      <c r="E261" s="301" t="str">
        <f>IF('Mon Entreprise'!K8&gt;Annexes!U24,"",IF(OR(AB260="OUI",AND(OR(AB262="OUI",AB261="OUI"),OR(AB256&gt;=Annexes!T5,AB257&gt;=Annexes!T5,'Mes Aides'!AB149&gt;=0.1)),AB263=TRUE),"",IF(AND(OR(AB262="OUI",AB261="OUI"),OR(AB256&lt;Annexes!T5,AB257&lt;Annexes!T5,'Mes Aides'!AB207&lt;0.1)),"L'entreprise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61" s="301"/>
      <c r="G261" s="301"/>
      <c r="H261" s="301"/>
      <c r="I261" s="301"/>
      <c r="J261" s="301"/>
      <c r="K261" s="301"/>
      <c r="L261" s="301"/>
      <c r="M261" s="301"/>
      <c r="N261" s="301"/>
      <c r="O261" s="301"/>
      <c r="P261" s="1"/>
      <c r="T261" s="14"/>
      <c r="U261" s="279"/>
      <c r="V261" s="279"/>
      <c r="W261" s="279"/>
      <c r="X261" s="279"/>
      <c r="Y261" s="279" t="s">
        <v>9</v>
      </c>
      <c r="Z261" s="1"/>
      <c r="AA261" s="14"/>
      <c r="AB261" s="276" t="str">
        <f>IF(AND(Annexes!F7&gt;1,Annexes!F7&lt;=Annexes!H8),"OUI","NON")</f>
        <v>NON</v>
      </c>
      <c r="AC261" s="1"/>
      <c r="AD261" s="1"/>
      <c r="AE261" s="13"/>
    </row>
    <row r="262" spans="1:31" ht="16.5" customHeight="1">
      <c r="B262" s="103"/>
      <c r="C262" s="281"/>
      <c r="D262" s="277"/>
      <c r="E262" s="301"/>
      <c r="F262" s="301"/>
      <c r="G262" s="301"/>
      <c r="H262" s="301"/>
      <c r="I262" s="301"/>
      <c r="J262" s="301"/>
      <c r="K262" s="301"/>
      <c r="L262" s="301"/>
      <c r="M262" s="301"/>
      <c r="N262" s="301"/>
      <c r="O262" s="301"/>
      <c r="P262" s="1"/>
      <c r="T262" s="378" t="s">
        <v>324</v>
      </c>
      <c r="U262" s="379"/>
      <c r="V262" s="379"/>
      <c r="W262" s="379"/>
      <c r="X262" s="379"/>
      <c r="Y262" s="379"/>
      <c r="Z262" s="1"/>
      <c r="AA262" s="14"/>
      <c r="AB262" s="276" t="str">
        <f>IF(OR(Annexes!M13=TRUE,Annexes!M19=TRUE),"OUI","NON")</f>
        <v>NON</v>
      </c>
      <c r="AC262" s="1"/>
      <c r="AD262" s="1"/>
      <c r="AE262" s="13"/>
    </row>
    <row r="263" spans="1:31" ht="16.5" customHeight="1">
      <c r="B263" s="169"/>
      <c r="C263" s="281"/>
      <c r="D263" s="277"/>
      <c r="E263" s="301"/>
      <c r="F263" s="301"/>
      <c r="G263" s="301"/>
      <c r="H263" s="301"/>
      <c r="I263" s="301"/>
      <c r="J263" s="301"/>
      <c r="K263" s="301"/>
      <c r="L263" s="301"/>
      <c r="M263" s="301"/>
      <c r="N263" s="301"/>
      <c r="O263" s="301"/>
      <c r="P263" s="1"/>
      <c r="T263" s="14"/>
      <c r="U263" s="379" t="s">
        <v>320</v>
      </c>
      <c r="V263" s="379"/>
      <c r="W263" s="379"/>
      <c r="X263" s="379"/>
      <c r="Y263" s="379"/>
      <c r="Z263" s="1"/>
      <c r="AA263" s="14"/>
      <c r="AB263" s="276" t="b">
        <f>IF(AND(Annexes!M17=TRUE,AB250&gt;=0.2),TRUE,FALSE)</f>
        <v>0</v>
      </c>
      <c r="AC263" s="1"/>
      <c r="AD263" s="1"/>
      <c r="AE263" s="13"/>
    </row>
    <row r="264" spans="1:31" ht="16.5" customHeight="1">
      <c r="A264" s="99"/>
      <c r="B264" s="103"/>
      <c r="C264" s="281"/>
      <c r="D264" s="384" t="str">
        <f>IFERROR(IF('Mon Entreprise'!K8&gt;=Annexes!S20,IF(AB240&gt;=AB242,"- Le CA de référence est celui de Février 2019, soit une perte de "&amp;ROUND(AB240,0)&amp;" €"&amp;" ==&gt; "&amp;ROUND(AE240*100,0)&amp;" %","- Le CA de référence est celui de la création, soit une perte de "&amp;ROUND(AB242,0)&amp;" €"&amp;" ==&gt; "&amp;ROUND(AE242*100,0)&amp;" %"),IF(AB240&gt;=AB241,"- Le CA de référence est celui de Février 2019, soit une perte de "&amp;ROUND(AB240,0)&amp;" €"&amp;" ==&gt; "&amp;ROUND(AE240*100,0)&amp;" %","- Le CA de référence est celui de l'exercice 2019, soit une perte de "&amp;ROUND(AB241,0)&amp;" €"&amp;" ==&gt; "&amp;ROUND(AE241*100,0)&amp;" %")),"")</f>
        <v>- Le CA de référence est celui de Février 2019, soit une perte de 0 € ==&gt; 0 %</v>
      </c>
      <c r="E264" s="384"/>
      <c r="F264" s="384"/>
      <c r="G264" s="384"/>
      <c r="H264" s="384"/>
      <c r="I264" s="384"/>
      <c r="J264" s="384"/>
      <c r="K264" s="384"/>
      <c r="L264" s="384"/>
      <c r="M264" s="384"/>
      <c r="N264" s="384"/>
      <c r="O264" s="384"/>
      <c r="P264" s="1"/>
      <c r="T264" s="14"/>
      <c r="U264" s="410" t="s">
        <v>74</v>
      </c>
      <c r="V264" s="410"/>
      <c r="W264" s="410"/>
      <c r="X264" s="410"/>
      <c r="Y264" s="410"/>
      <c r="Z264" s="139"/>
      <c r="AA264" s="145"/>
      <c r="AB264" s="278" t="str">
        <f>IF('Mon Entreprise'!K8&lt;=Annexes!U26,"Oui","Non")</f>
        <v>Oui</v>
      </c>
      <c r="AC264" s="139"/>
      <c r="AD264" s="1"/>
      <c r="AE264" s="13"/>
    </row>
    <row r="265" spans="1:31" ht="16.5" customHeight="1">
      <c r="B265" s="103"/>
      <c r="C265" s="281"/>
      <c r="D265" s="217" t="str">
        <f>IF(OR(AB260="OUI",AB263=TRUE),"- Sans ticket modérateur",IF(AND(OR(AB262="OUI",AB261="OUI"),OR(AB256&gt;=0.8,AB257&gt;=0.8,AB258&gt;=0.1)),"- La Perte de référence est plafonnée à 80 %, soit "&amp;ROUND(AB269,0)&amp;" €","- Sans ticket modérateur"))</f>
        <v>- Sans ticket modérateur</v>
      </c>
      <c r="E265" s="270"/>
      <c r="F265" s="270"/>
      <c r="G265" s="270"/>
      <c r="H265" s="270"/>
      <c r="I265" s="270"/>
      <c r="J265" s="270"/>
      <c r="K265" s="270"/>
      <c r="L265" s="270"/>
      <c r="M265" s="270"/>
      <c r="N265" s="270"/>
      <c r="O265" s="270"/>
      <c r="P265" s="1"/>
      <c r="T265" s="14"/>
      <c r="U265" s="410" t="s">
        <v>87</v>
      </c>
      <c r="V265" s="410"/>
      <c r="W265" s="410"/>
      <c r="X265" s="410"/>
      <c r="Y265" s="410"/>
      <c r="Z265" s="139"/>
      <c r="AA265" s="145"/>
      <c r="AB265" s="278">
        <f>IF('Mon Entreprise'!K8&gt;=Annexes!S20,IF(AB240&gt;=AB242,AB240,AB242),IF(AB240&gt;=AB241,AB240,AB241))</f>
        <v>0</v>
      </c>
      <c r="AC265" s="139"/>
      <c r="AD265" s="1"/>
      <c r="AE265" s="13"/>
    </row>
    <row r="266" spans="1:31" ht="16.5" customHeight="1" thickBot="1">
      <c r="B266" s="103"/>
      <c r="C266" s="281"/>
      <c r="D266" s="270"/>
      <c r="E266" s="270"/>
      <c r="F266" s="270"/>
      <c r="G266" s="270"/>
      <c r="H266" s="270"/>
      <c r="I266" s="270"/>
      <c r="J266" s="270"/>
      <c r="K266" s="270"/>
      <c r="L266" s="270"/>
      <c r="M266" s="270"/>
      <c r="N266" s="270"/>
      <c r="O266" s="270"/>
      <c r="P266" s="1"/>
      <c r="T266" s="14"/>
      <c r="U266" s="410" t="s">
        <v>88</v>
      </c>
      <c r="V266" s="410"/>
      <c r="W266" s="410"/>
      <c r="X266" s="410"/>
      <c r="Y266" s="410"/>
      <c r="Z266" s="139"/>
      <c r="AA266" s="145"/>
      <c r="AB266" s="278">
        <f>IF('Mon Entreprise'!K8&gt;=Annexes!S20,IF(AB240&gt;=AB242,AE240,AE242),IF(AB240&gt;=AB241,AE240,AE241))</f>
        <v>0</v>
      </c>
      <c r="AC266" s="139"/>
      <c r="AD266" s="1"/>
      <c r="AE266" s="13"/>
    </row>
    <row r="267" spans="1:31" ht="16.5" customHeight="1">
      <c r="B267" s="103"/>
      <c r="C267" s="281"/>
      <c r="D267" s="400" t="str">
        <f>IFERROR(IF('Mon Entreprise'!K8&gt;Annexes!U26,"Vous avez débuté votre activité après le 31 Octobre 2020, vous ne pouvez donc pas bénéficier de cette aide",IF(AB263=TRUE,IF(AB269&gt;Annexes!S6,"Dans votre cas, l'aide est Plafonnée, à "&amp;Annexes!S6&amp;" € pour le mois de Février","Vous pouvez bénéficier, au titre de cette aide, d'un montant de "&amp;ROUND(AB269,0)&amp;" € pour le mois de Février"),IF(AB266&gt;=0.5,IF(OR(AB260="OUI",AND(OR(AB262="OUI",AB261="OUI"),OR(AB256&gt;=Annexes!T5,AB257&gt;=Annexes!T5,AB258&gt;=0.1))),IF(AB269&gt;Annexes!S6,"Dans votre cas, l'aide est Plafonnée, à "&amp;Annexes!S6&amp;" € pour le mois de Février","Vous pouvez bénéficier, au titre de cette aide, d'un montant de "&amp;ROUND(AB269,0)&amp;" € pour le mois de Février"),IF(AND(OR(AB262="OUI",AB261="OUI"),OR(AB256&lt;Annexes!T5,AB257&lt;Annexes!T5)),"L'entreprise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7" s="401"/>
      <c r="F267" s="401"/>
      <c r="G267" s="401"/>
      <c r="H267" s="401"/>
      <c r="I267" s="401"/>
      <c r="J267" s="401"/>
      <c r="K267" s="401"/>
      <c r="L267" s="401"/>
      <c r="M267" s="401"/>
      <c r="N267" s="401"/>
      <c r="O267" s="402"/>
      <c r="P267" s="1"/>
      <c r="T267" s="14"/>
      <c r="U267" s="396" t="s">
        <v>76</v>
      </c>
      <c r="V267" s="396"/>
      <c r="W267" s="396"/>
      <c r="X267" s="396"/>
      <c r="Y267" s="396"/>
      <c r="Z267" s="139"/>
      <c r="AA267" s="145"/>
      <c r="AB267" s="278">
        <f>IF(OR(AB260="OUI",AB263=TRUE),1,IF(AND(OR(AB262="OUI",AB261="OUI"),OR(AB256&gt;=0.8,AB257&gt;=0.8,AB258&gt;=0.1)),0.8,1))</f>
        <v>1</v>
      </c>
      <c r="AC267" s="139"/>
      <c r="AD267" s="1"/>
      <c r="AE267" s="13"/>
    </row>
    <row r="268" spans="1:31" ht="16.5" customHeight="1">
      <c r="B268" s="174"/>
      <c r="C268" s="281"/>
      <c r="D268" s="403"/>
      <c r="E268" s="404"/>
      <c r="F268" s="404"/>
      <c r="G268" s="404"/>
      <c r="H268" s="404"/>
      <c r="I268" s="404"/>
      <c r="J268" s="404"/>
      <c r="K268" s="404"/>
      <c r="L268" s="404"/>
      <c r="M268" s="404"/>
      <c r="N268" s="404"/>
      <c r="O268" s="405"/>
      <c r="P268" s="1"/>
      <c r="T268" s="14"/>
      <c r="U268" s="396" t="s">
        <v>83</v>
      </c>
      <c r="V268" s="396"/>
      <c r="W268" s="396"/>
      <c r="X268" s="396"/>
      <c r="Y268" s="396"/>
      <c r="Z268" s="139"/>
      <c r="AA268" s="145"/>
      <c r="AB268" s="278">
        <f>IF('Mon Entreprise'!K8&gt;=Annexes!S20,IF(AB240&gt;=AB242,Y240,Y242),IF(AB240&gt;=AB241,Y240,Y241))</f>
        <v>0</v>
      </c>
      <c r="AC268" s="139"/>
      <c r="AD268" s="1"/>
      <c r="AE268" s="13"/>
    </row>
    <row r="269" spans="1:31" ht="16.5" customHeight="1">
      <c r="B269" s="103"/>
      <c r="C269" s="281"/>
      <c r="D269" s="403"/>
      <c r="E269" s="404"/>
      <c r="F269" s="404"/>
      <c r="G269" s="404"/>
      <c r="H269" s="404"/>
      <c r="I269" s="404"/>
      <c r="J269" s="404"/>
      <c r="K269" s="404"/>
      <c r="L269" s="404"/>
      <c r="M269" s="404"/>
      <c r="N269" s="404"/>
      <c r="O269" s="405"/>
      <c r="P269" s="1"/>
      <c r="T269" s="14"/>
      <c r="U269" s="379" t="s">
        <v>109</v>
      </c>
      <c r="V269" s="379"/>
      <c r="W269" s="379"/>
      <c r="X269" s="379"/>
      <c r="Y269" s="379"/>
      <c r="Z269" s="1"/>
      <c r="AA269" s="14"/>
      <c r="AB269" s="276">
        <f>IF(AB267=1,AB265,IF(AB265*AB267&gt;1500,IF(AB265&gt;1500,AB265*AB267,"Impossible"),IF(AB265&lt;1500,AB265,1500)))</f>
        <v>0</v>
      </c>
      <c r="AC269" s="1"/>
      <c r="AD269" s="1"/>
      <c r="AE269" s="13"/>
    </row>
    <row r="270" spans="1:31" ht="16.5" customHeight="1" thickBot="1">
      <c r="B270" s="103"/>
      <c r="C270" s="281"/>
      <c r="D270" s="406"/>
      <c r="E270" s="407"/>
      <c r="F270" s="407"/>
      <c r="G270" s="407"/>
      <c r="H270" s="407"/>
      <c r="I270" s="407"/>
      <c r="J270" s="407"/>
      <c r="K270" s="407"/>
      <c r="L270" s="407"/>
      <c r="M270" s="407"/>
      <c r="N270" s="407"/>
      <c r="O270" s="408"/>
      <c r="P270" s="1"/>
      <c r="T270" s="14"/>
      <c r="U270" s="276"/>
      <c r="V270" s="276"/>
      <c r="W270" s="276"/>
      <c r="X270" s="276"/>
      <c r="Y270" s="276"/>
      <c r="Z270" s="1"/>
      <c r="AA270" s="1"/>
      <c r="AB270" s="1"/>
      <c r="AC270" s="1"/>
      <c r="AD270" s="1"/>
      <c r="AE270" s="13"/>
    </row>
    <row r="271" spans="1:31" ht="16.5" customHeight="1">
      <c r="B271" s="103"/>
      <c r="C271" s="170"/>
      <c r="D271" s="175"/>
      <c r="E271" s="175"/>
      <c r="F271" s="175"/>
      <c r="G271" s="175"/>
      <c r="H271" s="175"/>
      <c r="I271" s="175"/>
      <c r="J271" s="175"/>
      <c r="K271" s="175"/>
      <c r="L271" s="175"/>
      <c r="M271" s="175"/>
      <c r="N271" s="175"/>
      <c r="O271" s="175"/>
      <c r="P271" s="1"/>
      <c r="T271" s="14"/>
      <c r="U271" s="379"/>
      <c r="V271" s="379"/>
      <c r="W271" s="379"/>
      <c r="X271" s="379"/>
      <c r="Y271" s="379"/>
      <c r="Z271" s="1"/>
      <c r="AA271" s="1"/>
      <c r="AB271" s="1"/>
      <c r="AC271" s="1"/>
      <c r="AD271" s="1"/>
      <c r="AE271" s="13"/>
    </row>
    <row r="272" spans="1:31" ht="16.5" customHeight="1">
      <c r="B272" s="103"/>
      <c r="C272" s="281"/>
      <c r="D272" s="270"/>
      <c r="E272" s="270"/>
      <c r="F272" s="270"/>
      <c r="G272" s="270"/>
      <c r="H272" s="270"/>
      <c r="I272" s="270"/>
      <c r="J272" s="270"/>
      <c r="K272" s="270"/>
      <c r="L272" s="270"/>
      <c r="M272" s="270"/>
      <c r="N272" s="270"/>
      <c r="O272" s="270"/>
      <c r="P272" s="1"/>
      <c r="T272" s="14"/>
      <c r="U272" s="276"/>
      <c r="V272" s="276"/>
      <c r="W272" s="276"/>
      <c r="X272" s="276"/>
      <c r="Y272" s="276"/>
      <c r="Z272" s="1"/>
      <c r="AA272" s="1"/>
      <c r="AB272" s="1"/>
      <c r="AC272" s="1"/>
      <c r="AD272" s="1"/>
      <c r="AE272" s="13"/>
    </row>
    <row r="273" spans="2:31" ht="16.5" customHeight="1">
      <c r="B273" s="103"/>
      <c r="C273" s="398" t="s">
        <v>321</v>
      </c>
      <c r="D273" s="398"/>
      <c r="E273" s="398"/>
      <c r="F273" s="398"/>
      <c r="G273" s="398"/>
      <c r="H273" s="398"/>
      <c r="I273" s="398"/>
      <c r="J273" s="398"/>
      <c r="K273" s="398"/>
      <c r="L273" s="398"/>
      <c r="M273" s="398"/>
      <c r="N273" s="398"/>
      <c r="O273" s="398"/>
      <c r="P273" s="1"/>
      <c r="T273" s="14"/>
      <c r="U273" s="1"/>
      <c r="V273" s="1"/>
      <c r="W273" s="1"/>
      <c r="X273" s="1"/>
      <c r="Y273" s="1"/>
      <c r="Z273" s="1"/>
      <c r="AA273" s="1"/>
      <c r="AB273" s="1"/>
      <c r="AC273" s="1"/>
      <c r="AD273" s="1"/>
      <c r="AE273" s="13"/>
    </row>
    <row r="274" spans="2:31" ht="16.5" customHeight="1">
      <c r="B274" s="103"/>
      <c r="C274" s="398"/>
      <c r="D274" s="398"/>
      <c r="E274" s="398"/>
      <c r="F274" s="398"/>
      <c r="G274" s="398"/>
      <c r="H274" s="398"/>
      <c r="I274" s="398"/>
      <c r="J274" s="398"/>
      <c r="K274" s="398"/>
      <c r="L274" s="398"/>
      <c r="M274" s="398"/>
      <c r="N274" s="398"/>
      <c r="O274" s="398"/>
      <c r="P274" s="1"/>
      <c r="T274" s="14"/>
      <c r="U274" s="1"/>
      <c r="V274" s="1"/>
      <c r="W274" s="1"/>
      <c r="X274" s="1"/>
      <c r="Y274" s="1"/>
      <c r="Z274" s="1"/>
      <c r="AA274" s="1"/>
      <c r="AB274" s="1"/>
      <c r="AC274" s="1"/>
      <c r="AD274" s="1"/>
      <c r="AE274" s="13"/>
    </row>
    <row r="275" spans="2:31" ht="16.5" customHeight="1">
      <c r="B275" s="174"/>
      <c r="C275" s="398"/>
      <c r="D275" s="398"/>
      <c r="E275" s="398"/>
      <c r="F275" s="398"/>
      <c r="G275" s="398"/>
      <c r="H275" s="398"/>
      <c r="I275" s="398"/>
      <c r="J275" s="398"/>
      <c r="K275" s="398"/>
      <c r="L275" s="398"/>
      <c r="M275" s="398"/>
      <c r="N275" s="398"/>
      <c r="O275" s="398"/>
      <c r="P275" s="1"/>
      <c r="T275" s="14"/>
      <c r="U275" s="396" t="s">
        <v>85</v>
      </c>
      <c r="V275" s="396"/>
      <c r="W275" s="396"/>
      <c r="X275" s="396"/>
      <c r="Y275" s="396"/>
      <c r="Z275" s="68"/>
      <c r="AA275" s="1"/>
      <c r="AB275" s="1">
        <f>IFERROR(IF(AB248="Non",0,IF(AB250&gt;=0.5,IF(AB249&gt;Annexes!S5,Annexes!S5,ROUND(AB249,0)),0)),0)</f>
        <v>0</v>
      </c>
      <c r="AC275" s="1"/>
      <c r="AD275" s="1"/>
      <c r="AE275" s="13"/>
    </row>
    <row r="276" spans="2:31" ht="30" customHeight="1">
      <c r="B276" s="174"/>
      <c r="C276" s="281"/>
      <c r="D276" s="277"/>
      <c r="E276" s="301" t="str">
        <f>IF('Mon Entreprise'!K8&gt;Annexes!U24,"",IF(OR(AB260="OUI",AND(OR(AB262="OUI",AB261="OUI"),OR(AB256&gt;=Annexes!T5,AB257&gt;=Annexes!T5,'Mes Aides'!AB149&gt;=0.1)),AB263=TRUE),"",IF(AND(OR(AB262="OUI",AB261="OUI"),OR(AB256&lt;Annexes!T5,AB257&lt;Annexes!T5,'Mes Aides'!AB149&lt;0.1)),"L'entreprise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6" s="301"/>
      <c r="G276" s="301"/>
      <c r="H276" s="301"/>
      <c r="I276" s="301"/>
      <c r="J276" s="301"/>
      <c r="K276" s="301"/>
      <c r="L276" s="301"/>
      <c r="M276" s="301"/>
      <c r="N276" s="301"/>
      <c r="O276" s="301"/>
      <c r="P276" s="1"/>
      <c r="T276" s="14"/>
      <c r="U276" s="396" t="s">
        <v>84</v>
      </c>
      <c r="V276" s="396"/>
      <c r="W276" s="396"/>
      <c r="X276" s="396"/>
      <c r="Y276" s="396"/>
      <c r="Z276" s="68"/>
      <c r="AA276" s="1"/>
      <c r="AB276" s="1">
        <f>IFERROR(IF('Mon Entreprise'!K8&gt;Annexes!U24,0,IF(AB263=TRUE,IF(AB269&gt;Annexes!S6,Annexes!S6,ROUND(AB269,0)),IF(AB266&gt;=0.5,IF(OR(AB260="OUI",AND(AB262="OUI",OR(AB256&gt;=Annexes!T5,AB257&gt;=Annexes!T5))),IF(AB269&gt;Annexes!S6,Annexes!S6,ROUND(AB269,0)),IF(AND(AB262="OUI",OR(AB256&lt;Annexes!T5,AB257&lt;Annexes!T5)),0,0)),0))),0)</f>
        <v>0</v>
      </c>
      <c r="AC276" s="1"/>
      <c r="AD276" s="1"/>
      <c r="AE276" s="13"/>
    </row>
    <row r="277" spans="2:31" ht="16.5" customHeight="1">
      <c r="B277" s="174"/>
      <c r="C277" s="281"/>
      <c r="D277" s="277"/>
      <c r="E277" s="301"/>
      <c r="F277" s="301"/>
      <c r="G277" s="301"/>
      <c r="H277" s="301"/>
      <c r="I277" s="301"/>
      <c r="J277" s="301"/>
      <c r="K277" s="301"/>
      <c r="L277" s="301"/>
      <c r="M277" s="301"/>
      <c r="N277" s="301"/>
      <c r="O277" s="301"/>
      <c r="P277" s="1"/>
      <c r="T277" s="14"/>
      <c r="U277" s="396" t="s">
        <v>106</v>
      </c>
      <c r="V277" s="396"/>
      <c r="W277" s="396"/>
      <c r="X277" s="396"/>
      <c r="Y277" s="396"/>
      <c r="Z277" s="68"/>
      <c r="AA277" s="1"/>
      <c r="AB277" s="1">
        <f>IFERROR(IF('Mon Entreprise'!K8&gt;Annexes!U26,0,IF(AB263=TRUE,IF(AB268=0,0,IF(AB265&lt;AB268*0.2,ROUND(AB265,0),IF(AB268*0.2&gt;=200000,Annexes!S8,ROUND(AB268*0.2,0)))),IF(AB260="OUI",IF(AB266&gt;=0.7,IF(AB265&lt;AB268*0.2,ROUND(AB265,0),IF(AB268*0.2&gt;=200000,Annexes!S8,ROUND(AB268*0.2,0))),IF(AB266&gt;=0.5,IF(AB265&lt;AB268*0.15,ROUND(AB265,0),IF(AB268*0.15&gt;=200000,Annexes!S8,ROUND(AB268*0.15,0))),IF(AND(AB262="OUI",OR(AB256&gt;=0.8,AB257&gt;=0.8,AB258&gt;=0.1),AB266&gt;=0.7),IF(AB265&lt;AB268*0.2,ROUND(AB265,0),IF(AB268*0.2&gt;=200000,Annexes!S8,ROUND(AB268*0.2,0))),0))),IF(AND(AB262="OUI",OR(AB256&gt;=0.8,AB257&gt;=0.8,AB258&gt;=0.1),AB266&gt;=0.7),IF(AB265&lt;AB268*0.2,ROUND(AB265,0),IF(AB268*0.2&gt;=200000,Annexes!S8,ROUND(AB268*0.2,0))),0)))),0)</f>
        <v>0</v>
      </c>
      <c r="AC277" s="1"/>
      <c r="AD277" s="1"/>
      <c r="AE277" s="13"/>
    </row>
    <row r="278" spans="2:31" ht="16.5" customHeight="1">
      <c r="B278" s="174"/>
      <c r="C278" s="281"/>
      <c r="D278" s="301" t="str">
        <f>IFERROR(IF('Mon Entreprise'!K8&gt;=Annexes!S20,IF(AB240&gt;=AB242,"- Le CA de référence est celui de Février 2019, soit une perte de "&amp;ROUND(AB240,0)&amp;" €"&amp;" ==&gt; "&amp;ROUND(AE240*100,0)&amp;" %","- Le CA de référence est celui de la création, soit une perte de "&amp;ROUND(AB242,0)&amp;" €"&amp;" ==&gt; "&amp;ROUND(AE242*100,0)&amp;" %"),IF(AB240&gt;=AB241,"- Le CA de référence est celui de Février 2019, soit une perte de "&amp;ROUND(AB240,0)&amp;" €"&amp;" ==&gt; "&amp;ROUND(AE240*100,0)&amp;" %","- Le CA de référence est celui de l'exercice 2019, soit une perte de "&amp;ROUND(AB241,0)&amp;" €"&amp;" ==&gt; "&amp;ROUND(AE241*100,0)&amp;" %")),"")</f>
        <v>- Le CA de référence est celui de Février 2019, soit une perte de 0 € ==&gt; 0 %</v>
      </c>
      <c r="E278" s="301"/>
      <c r="F278" s="301"/>
      <c r="G278" s="301"/>
      <c r="H278" s="301"/>
      <c r="I278" s="301"/>
      <c r="J278" s="301"/>
      <c r="K278" s="301"/>
      <c r="L278" s="301"/>
      <c r="M278" s="301"/>
      <c r="N278" s="301"/>
      <c r="O278" s="301"/>
      <c r="P278" s="270"/>
      <c r="Q278" s="270"/>
      <c r="T278" s="14"/>
      <c r="U278" s="1"/>
      <c r="V278" s="1"/>
      <c r="W278" s="1"/>
      <c r="X278" s="1"/>
      <c r="Y278" s="1"/>
      <c r="Z278" s="1"/>
      <c r="AA278" s="1"/>
      <c r="AB278" s="1"/>
      <c r="AC278" s="1"/>
      <c r="AD278" s="1"/>
      <c r="AE278" s="13"/>
    </row>
    <row r="279" spans="2:31" ht="16.5" customHeight="1">
      <c r="B279" s="103"/>
      <c r="C279" s="281"/>
      <c r="D279" s="384" t="str">
        <f>IF(AB263=TRUE,"- L'entreprise peut bénéficier d'une aide de 20 % du CA de référence, plafonnée à 200 000 €",IF(OR(AB260="OUI",AND(AB261="OUI",OR(AB256&gt;=0.8,AB257&gt;=0.8,AB258&gt;=0.1))),IF(AB266&gt;=0.7,"- L'entreprise peut bénéficier d'une aide de 20 % du CA de référence, plafonnée à 200 000 €",IF(AB266&gt;=0.5,"- L'entreprise peut bénéficier d'une aide de 15 % du CA de référence, plafonnée à 200 000 €","- L'entreprise n'a subi ni de fermeture administrative avec une perte de 20 % de CA au mois de Février, ni de perte d'au moins 50 % de son CA")),IF(AND(AB262="OUI",OR(AB256&gt;=0.8,AB257&gt;=0.8,AB258&gt;=0.1),AB266&gt;=0.5),"-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9" s="384"/>
      <c r="F279" s="384"/>
      <c r="G279" s="384"/>
      <c r="H279" s="384"/>
      <c r="I279" s="384"/>
      <c r="J279" s="384"/>
      <c r="K279" s="384"/>
      <c r="L279" s="384"/>
      <c r="M279" s="384"/>
      <c r="N279" s="384"/>
      <c r="O279" s="384"/>
      <c r="P279" s="270"/>
      <c r="Q279" s="270"/>
      <c r="T279" s="14"/>
      <c r="U279" s="1"/>
      <c r="V279" s="1"/>
      <c r="W279" s="1"/>
      <c r="X279" s="1"/>
      <c r="Y279" s="1"/>
      <c r="Z279" s="1"/>
      <c r="AA279" s="1"/>
      <c r="AB279" s="1"/>
      <c r="AC279" s="1"/>
      <c r="AD279" s="1"/>
      <c r="AE279" s="13"/>
    </row>
    <row r="280" spans="2:31" ht="16.5" customHeight="1">
      <c r="B280" s="169"/>
      <c r="C280" s="281"/>
      <c r="D280" s="384"/>
      <c r="E280" s="384"/>
      <c r="F280" s="384"/>
      <c r="G280" s="384"/>
      <c r="H280" s="384"/>
      <c r="I280" s="384"/>
      <c r="J280" s="384"/>
      <c r="K280" s="384"/>
      <c r="L280" s="384"/>
      <c r="M280" s="384"/>
      <c r="N280" s="384"/>
      <c r="O280" s="384"/>
      <c r="P280" s="270"/>
      <c r="Q280" s="270"/>
      <c r="T280" s="14"/>
      <c r="U280" s="1"/>
      <c r="V280" s="1"/>
      <c r="W280" s="1"/>
      <c r="X280" s="1"/>
      <c r="Y280" s="1"/>
      <c r="Z280" s="1"/>
      <c r="AA280" s="1"/>
      <c r="AB280" s="1"/>
      <c r="AC280" s="1"/>
      <c r="AD280" s="1"/>
      <c r="AE280" s="13"/>
    </row>
    <row r="281" spans="2:31" ht="16.5" customHeight="1" thickBot="1">
      <c r="B281" s="169"/>
      <c r="C281" s="281"/>
      <c r="D281" s="207"/>
      <c r="E281" s="270"/>
      <c r="F281" s="270"/>
      <c r="G281" s="270"/>
      <c r="H281" s="270"/>
      <c r="I281" s="270"/>
      <c r="J281" s="270"/>
      <c r="K281" s="270"/>
      <c r="L281" s="270"/>
      <c r="M281" s="270"/>
      <c r="N281" s="270"/>
      <c r="O281" s="270"/>
      <c r="P281" s="270"/>
      <c r="Q281" s="270"/>
      <c r="T281" s="14"/>
      <c r="U281" s="1"/>
      <c r="V281" s="1"/>
      <c r="W281" s="1"/>
      <c r="X281" s="1"/>
      <c r="Y281" s="1"/>
      <c r="Z281" s="1"/>
      <c r="AA281" s="1"/>
      <c r="AB281" s="1"/>
      <c r="AC281" s="1"/>
      <c r="AD281" s="1"/>
      <c r="AE281" s="13"/>
    </row>
    <row r="282" spans="2:31" ht="16.5" customHeight="1">
      <c r="B282" s="103"/>
      <c r="C282" s="181"/>
      <c r="D282" s="409" t="str">
        <f>IFERROR(IF('Mon Entreprise'!K8&gt;Annexes!U26,"Vous avez débuté votre activité après le 31 Octobre 2020, vous ne pouvez donc pas bénéficier de cette aide",IF(AB263=TRUE,IF(AB268=0,"Vous n'avez pas indiqué de chiffre d'affaires de référence",IF(AB265&lt;AB268*0.2,"Dans votre cas, la perte est inférieure à 20 % du CA, l'aide est donc plafonnée à la perte, soit "&amp;ROUND(AB265,0)&amp;" € pour le mois de Février",IF(AB268*0.2&gt;=200000,"Dans votre cas, l'aide est plafonnée, à "&amp;Annexes!S8&amp;" € pour le mois de Février","Vous pouvez bénéficier, au titre de cette aide, d'un montant de "&amp;ROUND(AB268*0.2,0)&amp;" € pour le mois de Février"))),IF(OR(AB260="OUI",AND(AB261="OUI",OR(AB256&gt;=0.8,AB257&gt;=0.8,AB258&gt;=0.1))),IF(AB266&gt;=0.7,IF(AB265&lt;AB268*0.2,"Dans votre cas, la perte est inférieure à 20 % du CA, l'aide est donc plafonnée à la perte, soit "&amp;ROUND(AB265,0)&amp;" € pour le mois de Février",IF(AB268*0.2&gt;=200000,"Dans votre cas, l'aide est plafonnée, à "&amp;Annexes!S8&amp;" € pour le mois de Février","Vous pouvez bénéficier, au titre de cette aide, d'un montant de "&amp;ROUND(AB268*0.2,0)&amp;" € pour le mois de Février")),IF(AB266&gt;=0.5,IF(AB265&lt;AB268*0.15,"Dans votre cas, la perte est inférieure à 15 % du CA, l'aide est donc plafonnée à la perte, soit "&amp;ROUND(AB265,0)&amp;" € pour le mois de Février",IF(AB268*0.15&gt;=200000,"Dans votre cas, l'aide est plafonnée, à "&amp;Annexes!S8&amp;" € pour le mois de Février","Vous pouvez bénéficier, au titre de cette aide, d'un montant de "&amp;ROUND(AB268*0.15,0)&amp;" € pour le mois de Février")),IF(AND(AB262="OUI",OR(AB256&gt;=0.8,AB257&gt;=0.8,AB258&gt;=0.1),AB266&gt;=0.7),IF(AB265&lt;AB268*0.2,"Dans votre cas, la perte est inférieure à 20 % du CA, l'aide est donc plafonnée à la perte, soit "&amp;ROUND(AB265,0)&amp;" € pour le mois de Février",IF(AB268*0.2&gt;=200000,"Dans votre cas, l'aide est plafonnée, à "&amp;Annexes!S8&amp;" € pour le mois de Février","Vous pouvez bénéficier, au titre de cette aide, d'un montant de "&amp;ROUND(AB268*0.2,0)&amp;"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Février"))),IF(AND(AB262="OUI",OR(AB256&gt;=0.8,AB257&gt;=0.8,AB258&gt;=0.1),AB266&gt;=0.7),IF(AB265&lt;AB268*0.2,"Dans votre cas, la perte est inférieure à 20 % du CA, l'aide est donc plafonnée à la perte, soit "&amp;ROUND(AB265,0)&amp;" € pour le mois de Février",IF(AB268*0.2&gt;=200000,"Dans votre cas, l'aide est plafonnée, à "&amp;Annexes!S8&amp;" € pour le mois de Février","Vous pouvez bénéficier, au titre de cette aide, d'un montant de "&amp;ROUND(AB268*0.2,0)&amp;"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82" s="401"/>
      <c r="F282" s="401"/>
      <c r="G282" s="401"/>
      <c r="H282" s="401"/>
      <c r="I282" s="401"/>
      <c r="J282" s="401"/>
      <c r="K282" s="401"/>
      <c r="L282" s="401"/>
      <c r="M282" s="401"/>
      <c r="N282" s="401"/>
      <c r="O282" s="402"/>
      <c r="P282" s="270"/>
      <c r="Q282" s="270"/>
      <c r="T282" s="14"/>
      <c r="U282" s="1"/>
      <c r="V282" s="1"/>
      <c r="W282" s="1"/>
      <c r="X282" s="1"/>
      <c r="Y282" s="1"/>
      <c r="Z282" s="1"/>
      <c r="AA282" s="1"/>
      <c r="AB282" s="1"/>
      <c r="AC282" s="1"/>
      <c r="AD282" s="1"/>
      <c r="AE282" s="13"/>
    </row>
    <row r="283" spans="2:31" ht="16.5" customHeight="1">
      <c r="B283" s="103"/>
      <c r="C283" s="181"/>
      <c r="D283" s="403"/>
      <c r="E283" s="404"/>
      <c r="F283" s="404"/>
      <c r="G283" s="404"/>
      <c r="H283" s="404"/>
      <c r="I283" s="404"/>
      <c r="J283" s="404"/>
      <c r="K283" s="404"/>
      <c r="L283" s="404"/>
      <c r="M283" s="404"/>
      <c r="N283" s="404"/>
      <c r="O283" s="405"/>
      <c r="P283" s="270"/>
      <c r="Q283" s="270"/>
      <c r="T283" s="14"/>
      <c r="U283" s="1"/>
      <c r="V283" s="1"/>
      <c r="W283" s="1"/>
      <c r="X283" s="1"/>
      <c r="Y283" s="1"/>
      <c r="Z283" s="1"/>
      <c r="AA283" s="1"/>
      <c r="AB283" s="1"/>
      <c r="AC283" s="1"/>
      <c r="AD283" s="1"/>
      <c r="AE283" s="13"/>
    </row>
    <row r="284" spans="2:31" ht="16.5" customHeight="1">
      <c r="B284" s="103"/>
      <c r="C284" s="181"/>
      <c r="D284" s="403"/>
      <c r="E284" s="404"/>
      <c r="F284" s="404"/>
      <c r="G284" s="404"/>
      <c r="H284" s="404"/>
      <c r="I284" s="404"/>
      <c r="J284" s="404"/>
      <c r="K284" s="404"/>
      <c r="L284" s="404"/>
      <c r="M284" s="404"/>
      <c r="N284" s="404"/>
      <c r="O284" s="405"/>
      <c r="P284" s="176"/>
      <c r="Q284" s="176"/>
      <c r="T284" s="14"/>
      <c r="U284" s="1"/>
      <c r="V284" s="1"/>
      <c r="W284" s="1"/>
      <c r="X284" s="1"/>
      <c r="Y284" s="1"/>
      <c r="Z284" s="1"/>
      <c r="AA284" s="1"/>
      <c r="AB284" s="1"/>
      <c r="AC284" s="1"/>
      <c r="AD284" s="1"/>
      <c r="AE284" s="13"/>
    </row>
    <row r="285" spans="2:31" ht="16.5" customHeight="1" thickBot="1">
      <c r="B285" s="103"/>
      <c r="C285" s="181"/>
      <c r="D285" s="406"/>
      <c r="E285" s="407"/>
      <c r="F285" s="407"/>
      <c r="G285" s="407"/>
      <c r="H285" s="407"/>
      <c r="I285" s="407"/>
      <c r="J285" s="407"/>
      <c r="K285" s="407"/>
      <c r="L285" s="407"/>
      <c r="M285" s="407"/>
      <c r="N285" s="407"/>
      <c r="O285" s="408"/>
      <c r="T285" s="14"/>
      <c r="U285" s="1"/>
      <c r="V285" s="1"/>
      <c r="W285" s="1"/>
      <c r="X285" s="1"/>
      <c r="Y285" s="1"/>
      <c r="Z285" s="1"/>
      <c r="AA285" s="1"/>
      <c r="AB285" s="1"/>
      <c r="AC285" s="1"/>
      <c r="AD285" s="1"/>
      <c r="AE285" s="13"/>
    </row>
    <row r="286" spans="2:31">
      <c r="B286" s="5"/>
      <c r="C286" s="5"/>
      <c r="D286" s="261"/>
      <c r="E286" s="261"/>
      <c r="F286" s="261"/>
      <c r="G286" s="261"/>
      <c r="H286" s="261"/>
      <c r="I286" s="261"/>
      <c r="J286" s="261"/>
      <c r="K286" s="261"/>
      <c r="L286" s="261"/>
      <c r="M286" s="261"/>
      <c r="N286" s="261"/>
      <c r="O286" s="261"/>
      <c r="P286" s="178"/>
      <c r="Q286" s="178"/>
      <c r="T286" s="14"/>
      <c r="U286" s="1"/>
      <c r="V286" s="1"/>
      <c r="W286" s="1"/>
      <c r="X286" s="1"/>
      <c r="Y286" s="1"/>
      <c r="Z286" s="1"/>
      <c r="AA286" s="1"/>
      <c r="AB286" s="1"/>
      <c r="AC286" s="1"/>
      <c r="AD286" s="1"/>
      <c r="AE286" s="13"/>
    </row>
    <row r="287" spans="2:31">
      <c r="B287" s="5"/>
      <c r="C287" s="5"/>
      <c r="D287" s="261"/>
      <c r="E287" s="261"/>
      <c r="F287" s="261"/>
      <c r="G287" s="261"/>
      <c r="H287" s="261"/>
      <c r="I287" s="261"/>
      <c r="J287" s="261"/>
      <c r="K287" s="261"/>
      <c r="L287" s="261"/>
      <c r="M287" s="261"/>
      <c r="N287" s="261"/>
      <c r="O287" s="261"/>
      <c r="P287" s="178"/>
      <c r="Q287" s="178"/>
      <c r="T287" s="14"/>
      <c r="U287" s="1"/>
      <c r="V287" s="1"/>
      <c r="W287" s="1"/>
      <c r="X287" s="1"/>
      <c r="Y287" s="1"/>
      <c r="Z287" s="1"/>
      <c r="AA287" s="1"/>
      <c r="AB287" s="1"/>
      <c r="AC287" s="1"/>
      <c r="AD287" s="1"/>
      <c r="AE287" s="13"/>
    </row>
    <row r="288" spans="2:31">
      <c r="D288" s="178"/>
      <c r="E288" s="178"/>
      <c r="F288" s="178"/>
      <c r="G288" s="178"/>
      <c r="H288" s="178"/>
      <c r="I288" s="178"/>
      <c r="J288" s="178"/>
      <c r="K288" s="178"/>
      <c r="L288" s="178"/>
      <c r="M288" s="178"/>
      <c r="N288" s="178"/>
      <c r="O288" s="178"/>
      <c r="P288" s="176"/>
      <c r="Q288" s="176"/>
      <c r="T288" s="14"/>
      <c r="U288" s="1"/>
      <c r="V288" s="1"/>
      <c r="W288" s="1"/>
      <c r="X288" s="1"/>
      <c r="Y288" s="1"/>
      <c r="Z288" s="1"/>
      <c r="AA288" s="1"/>
      <c r="AB288" s="1"/>
      <c r="AC288" s="1"/>
      <c r="AD288" s="1"/>
      <c r="AE288" s="13"/>
    </row>
    <row r="289" spans="2:31">
      <c r="D289" s="178"/>
      <c r="E289" s="178"/>
      <c r="F289" s="178"/>
      <c r="G289" s="178"/>
      <c r="H289" s="178"/>
      <c r="I289" s="178"/>
      <c r="J289" s="178"/>
      <c r="K289" s="178"/>
      <c r="L289" s="178"/>
      <c r="M289" s="178"/>
      <c r="N289" s="178"/>
      <c r="O289" s="178"/>
      <c r="P289" s="176"/>
      <c r="Q289" s="176"/>
      <c r="T289" s="14"/>
      <c r="U289" s="1"/>
      <c r="V289" s="1"/>
      <c r="W289" s="1"/>
      <c r="X289" s="1"/>
      <c r="Y289" s="1"/>
      <c r="Z289" s="1"/>
      <c r="AA289" s="1"/>
      <c r="AB289" s="1"/>
      <c r="AC289" s="1"/>
      <c r="AD289" s="1"/>
      <c r="AE289" s="13"/>
    </row>
    <row r="290" spans="2:31">
      <c r="B290" s="273" t="s">
        <v>70</v>
      </c>
      <c r="C290" s="273"/>
      <c r="D290" s="176"/>
      <c r="E290" s="176"/>
      <c r="F290" s="176"/>
      <c r="G290" s="176"/>
      <c r="H290" s="176"/>
      <c r="I290" s="176"/>
      <c r="J290" s="176"/>
      <c r="K290" s="176"/>
      <c r="L290" s="176"/>
      <c r="M290" s="176"/>
      <c r="N290" s="176"/>
      <c r="O290" s="176"/>
      <c r="P290" s="1"/>
      <c r="Q290" s="1"/>
      <c r="T290" s="14"/>
      <c r="U290" s="1"/>
      <c r="V290" s="1"/>
      <c r="W290" s="1"/>
      <c r="X290" s="1"/>
      <c r="Y290" s="1"/>
      <c r="Z290" s="1"/>
      <c r="AA290" s="1"/>
      <c r="AB290" s="1"/>
      <c r="AC290" s="1"/>
      <c r="AD290" s="1"/>
      <c r="AE290" s="13"/>
    </row>
    <row r="291" spans="2:31">
      <c r="M291" s="3"/>
      <c r="O291" s="1"/>
      <c r="Q291" s="1"/>
      <c r="R291" s="1"/>
      <c r="S291" s="1"/>
      <c r="T291" s="15"/>
      <c r="U291" s="10"/>
      <c r="V291" s="10"/>
      <c r="W291" s="10"/>
      <c r="X291" s="10"/>
      <c r="Y291" s="10"/>
      <c r="Z291" s="10"/>
      <c r="AA291" s="10"/>
      <c r="AB291" s="10"/>
      <c r="AC291" s="10"/>
      <c r="AD291" s="10"/>
      <c r="AE291" s="4"/>
    </row>
    <row r="292" spans="2:31">
      <c r="O292" s="1"/>
      <c r="Q292" s="1"/>
      <c r="R292" s="1"/>
      <c r="S292" s="1"/>
    </row>
    <row r="293" spans="2:31">
      <c r="B293" s="5"/>
      <c r="C293" s="5"/>
      <c r="D293" s="5"/>
      <c r="Q293" s="1"/>
      <c r="R293" s="1"/>
      <c r="S293" s="1"/>
    </row>
    <row r="294" spans="2:31">
      <c r="R294" s="1"/>
      <c r="S294" s="1"/>
    </row>
    <row r="295" spans="2:31">
      <c r="R295" s="1"/>
      <c r="S295" s="1"/>
    </row>
  </sheetData>
  <sheetProtection password="E733" sheet="1" selectLockedCells="1" selectUnlockedCells="1"/>
  <mergeCells count="191">
    <mergeCell ref="U271:Y271"/>
    <mergeCell ref="U275:Y275"/>
    <mergeCell ref="U276:Y276"/>
    <mergeCell ref="U277:Y277"/>
    <mergeCell ref="C273:O275"/>
    <mergeCell ref="E276:O277"/>
    <mergeCell ref="D278:O278"/>
    <mergeCell ref="D279:O280"/>
    <mergeCell ref="D282:O285"/>
    <mergeCell ref="U263:Y263"/>
    <mergeCell ref="U264:Y264"/>
    <mergeCell ref="U265:Y265"/>
    <mergeCell ref="U266:Y266"/>
    <mergeCell ref="U267:Y267"/>
    <mergeCell ref="U268:Y268"/>
    <mergeCell ref="U269:Y269"/>
    <mergeCell ref="E261:O263"/>
    <mergeCell ref="D264:O264"/>
    <mergeCell ref="D267:O270"/>
    <mergeCell ref="U250:Y250"/>
    <mergeCell ref="D251:O254"/>
    <mergeCell ref="T256:Y256"/>
    <mergeCell ref="C257:O260"/>
    <mergeCell ref="U257:Y257"/>
    <mergeCell ref="U258:Y258"/>
    <mergeCell ref="U260:Y260"/>
    <mergeCell ref="T262:Y262"/>
    <mergeCell ref="C235:H235"/>
    <mergeCell ref="C237:O237"/>
    <mergeCell ref="U238:W238"/>
    <mergeCell ref="D240:O244"/>
    <mergeCell ref="T240:W240"/>
    <mergeCell ref="T241:W241"/>
    <mergeCell ref="T242:W242"/>
    <mergeCell ref="U248:Y248"/>
    <mergeCell ref="U249:Y249"/>
    <mergeCell ref="U219:Y219"/>
    <mergeCell ref="C220:O222"/>
    <mergeCell ref="E223:O224"/>
    <mergeCell ref="U223:Y223"/>
    <mergeCell ref="U224:Y224"/>
    <mergeCell ref="D225:O225"/>
    <mergeCell ref="U225:Y225"/>
    <mergeCell ref="D226:O227"/>
    <mergeCell ref="D229:O232"/>
    <mergeCell ref="D211:O211"/>
    <mergeCell ref="U211:Y211"/>
    <mergeCell ref="U212:Y212"/>
    <mergeCell ref="U213:Y213"/>
    <mergeCell ref="D214:O217"/>
    <mergeCell ref="U214:Y214"/>
    <mergeCell ref="U215:Y215"/>
    <mergeCell ref="U216:Y216"/>
    <mergeCell ref="U217:Y217"/>
    <mergeCell ref="U199:Y199"/>
    <mergeCell ref="D200:O203"/>
    <mergeCell ref="T205:Y205"/>
    <mergeCell ref="C206:O208"/>
    <mergeCell ref="U206:Y206"/>
    <mergeCell ref="U207:Y207"/>
    <mergeCell ref="U208:Y208"/>
    <mergeCell ref="E209:O210"/>
    <mergeCell ref="T210:Y210"/>
    <mergeCell ref="C184:H184"/>
    <mergeCell ref="C186:O186"/>
    <mergeCell ref="U187:W187"/>
    <mergeCell ref="D189:O193"/>
    <mergeCell ref="T189:W189"/>
    <mergeCell ref="T190:W190"/>
    <mergeCell ref="T191:W191"/>
    <mergeCell ref="U197:Y197"/>
    <mergeCell ref="U198:Y198"/>
    <mergeCell ref="U55:Y55"/>
    <mergeCell ref="U48:Y48"/>
    <mergeCell ref="T24:W24"/>
    <mergeCell ref="T25:W25"/>
    <mergeCell ref="T26:W26"/>
    <mergeCell ref="F3:O6"/>
    <mergeCell ref="B8:O8"/>
    <mergeCell ref="B9:O10"/>
    <mergeCell ref="B11:O11"/>
    <mergeCell ref="B13:O13"/>
    <mergeCell ref="D29:O33"/>
    <mergeCell ref="U29:Y29"/>
    <mergeCell ref="U30:Y30"/>
    <mergeCell ref="U31:Y31"/>
    <mergeCell ref="U32:Y32"/>
    <mergeCell ref="T13:AE20"/>
    <mergeCell ref="B16:O17"/>
    <mergeCell ref="C20:H20"/>
    <mergeCell ref="C23:I23"/>
    <mergeCell ref="U23:W23"/>
    <mergeCell ref="C49:O50"/>
    <mergeCell ref="D52:O53"/>
    <mergeCell ref="U52:Y52"/>
    <mergeCell ref="U53:Y53"/>
    <mergeCell ref="U54:Y54"/>
    <mergeCell ref="C37:H37"/>
    <mergeCell ref="U40:W40"/>
    <mergeCell ref="D42:O46"/>
    <mergeCell ref="T42:W42"/>
    <mergeCell ref="T43:W43"/>
    <mergeCell ref="T44:W44"/>
    <mergeCell ref="T46:Y46"/>
    <mergeCell ref="U51:Y51"/>
    <mergeCell ref="U49:Y49"/>
    <mergeCell ref="U50:Y50"/>
    <mergeCell ref="U47:Y47"/>
    <mergeCell ref="D65:O66"/>
    <mergeCell ref="D70:O73"/>
    <mergeCell ref="U79:W79"/>
    <mergeCell ref="T80:W80"/>
    <mergeCell ref="T81:W81"/>
    <mergeCell ref="D56:O59"/>
    <mergeCell ref="U60:Y60"/>
    <mergeCell ref="U61:Y61"/>
    <mergeCell ref="U62:Y62"/>
    <mergeCell ref="C63:O64"/>
    <mergeCell ref="U56:Y56"/>
    <mergeCell ref="C90:H90"/>
    <mergeCell ref="C92:O92"/>
    <mergeCell ref="D95:O99"/>
    <mergeCell ref="U95:W95"/>
    <mergeCell ref="T97:W97"/>
    <mergeCell ref="T98:W98"/>
    <mergeCell ref="T99:W99"/>
    <mergeCell ref="D82:O85"/>
    <mergeCell ref="T82:W82"/>
    <mergeCell ref="U86:Y86"/>
    <mergeCell ref="U87:Y87"/>
    <mergeCell ref="U88:Y88"/>
    <mergeCell ref="U89:Y89"/>
    <mergeCell ref="D118:O121"/>
    <mergeCell ref="U120:Y120"/>
    <mergeCell ref="U121:Y121"/>
    <mergeCell ref="U123:Y123"/>
    <mergeCell ref="U124:Y124"/>
    <mergeCell ref="U102:Y102"/>
    <mergeCell ref="U104:Y104"/>
    <mergeCell ref="D105:O108"/>
    <mergeCell ref="C111:O112"/>
    <mergeCell ref="T112:Y112"/>
    <mergeCell ref="U116:Y116"/>
    <mergeCell ref="E113:O114"/>
    <mergeCell ref="U119:Y119"/>
    <mergeCell ref="U108:Y108"/>
    <mergeCell ref="U115:Y115"/>
    <mergeCell ref="U118:Y118"/>
    <mergeCell ref="U113:Y113"/>
    <mergeCell ref="U114:Y114"/>
    <mergeCell ref="U117:Y117"/>
    <mergeCell ref="U103:Y103"/>
    <mergeCell ref="D122:O122"/>
    <mergeCell ref="U139:Y139"/>
    <mergeCell ref="U140:Y140"/>
    <mergeCell ref="U141:Y141"/>
    <mergeCell ref="D142:O145"/>
    <mergeCell ref="T147:Y147"/>
    <mergeCell ref="C126:H126"/>
    <mergeCell ref="C128:O128"/>
    <mergeCell ref="U129:W129"/>
    <mergeCell ref="D131:O135"/>
    <mergeCell ref="T131:W131"/>
    <mergeCell ref="T132:W132"/>
    <mergeCell ref="T133:W133"/>
    <mergeCell ref="D153:O153"/>
    <mergeCell ref="U153:Y153"/>
    <mergeCell ref="U154:Y154"/>
    <mergeCell ref="U155:Y155"/>
    <mergeCell ref="D156:O159"/>
    <mergeCell ref="U156:Y156"/>
    <mergeCell ref="U157:Y157"/>
    <mergeCell ref="U158:Y158"/>
    <mergeCell ref="C148:O150"/>
    <mergeCell ref="U148:Y148"/>
    <mergeCell ref="U149:Y149"/>
    <mergeCell ref="U150:Y150"/>
    <mergeCell ref="E151:O152"/>
    <mergeCell ref="U151:Y151"/>
    <mergeCell ref="U152:Y152"/>
    <mergeCell ref="D167:O167"/>
    <mergeCell ref="D168:O169"/>
    <mergeCell ref="D171:O174"/>
    <mergeCell ref="B180:O181"/>
    <mergeCell ref="U160:Y160"/>
    <mergeCell ref="C162:O164"/>
    <mergeCell ref="U164:Y164"/>
    <mergeCell ref="E165:O166"/>
    <mergeCell ref="U165:Y165"/>
    <mergeCell ref="U166:Y166"/>
    <mergeCell ref="D175:O175"/>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AC140"/>
  <sheetViews>
    <sheetView workbookViewId="0">
      <selection activeCell="U26" sqref="U26"/>
    </sheetView>
  </sheetViews>
  <sheetFormatPr baseColWidth="10" defaultRowHeight="15" customHeight="1"/>
  <cols>
    <col min="1" max="1" width="11.42578125" customWidth="1"/>
    <col min="2" max="2" width="13.85546875" customWidth="1"/>
    <col min="4" max="4" width="29.85546875" style="5" customWidth="1"/>
    <col min="5" max="5" width="16.28515625" customWidth="1"/>
    <col min="6" max="6" width="5.42578125" customWidth="1"/>
    <col min="7" max="7" width="4.28515625" customWidth="1"/>
    <col min="12" max="12" width="17.85546875" bestFit="1" customWidth="1"/>
  </cols>
  <sheetData>
    <row r="2" spans="2:21" ht="15" customHeight="1">
      <c r="I2" t="s">
        <v>13</v>
      </c>
    </row>
    <row r="3" spans="2:21" ht="15" customHeight="1">
      <c r="B3" t="s">
        <v>0</v>
      </c>
      <c r="D3" s="5" t="s">
        <v>1</v>
      </c>
      <c r="I3" t="s">
        <v>10</v>
      </c>
      <c r="J3" t="s">
        <v>11</v>
      </c>
    </row>
    <row r="4" spans="2:21" ht="15" customHeight="1">
      <c r="B4" s="229" t="s">
        <v>39</v>
      </c>
      <c r="C4" s="229" t="s">
        <v>7</v>
      </c>
      <c r="D4" s="230" t="s">
        <v>40</v>
      </c>
      <c r="E4" t="s">
        <v>7</v>
      </c>
      <c r="I4">
        <v>0</v>
      </c>
      <c r="J4">
        <v>0</v>
      </c>
      <c r="O4" t="s">
        <v>2</v>
      </c>
      <c r="Q4" t="s">
        <v>3</v>
      </c>
      <c r="S4" s="451" t="s">
        <v>108</v>
      </c>
      <c r="T4" s="451"/>
    </row>
    <row r="5" spans="2:21" ht="15" customHeight="1">
      <c r="B5" s="32" t="s">
        <v>133</v>
      </c>
      <c r="C5" s="229" t="s">
        <v>7</v>
      </c>
      <c r="D5" s="231" t="s">
        <v>245</v>
      </c>
      <c r="E5" s="198" t="s">
        <v>0</v>
      </c>
      <c r="F5">
        <v>1</v>
      </c>
      <c r="G5" t="s">
        <v>110</v>
      </c>
      <c r="H5" s="197">
        <v>2</v>
      </c>
      <c r="I5">
        <v>1</v>
      </c>
      <c r="J5">
        <v>1</v>
      </c>
      <c r="L5" t="s">
        <v>11</v>
      </c>
      <c r="M5" t="b">
        <v>0</v>
      </c>
      <c r="O5">
        <v>1</v>
      </c>
      <c r="Q5">
        <v>1</v>
      </c>
      <c r="S5">
        <v>1500</v>
      </c>
      <c r="T5">
        <v>0.8</v>
      </c>
    </row>
    <row r="6" spans="2:21" ht="15" customHeight="1">
      <c r="B6" s="32" t="s">
        <v>134</v>
      </c>
      <c r="C6" s="229" t="s">
        <v>7</v>
      </c>
      <c r="D6" s="231" t="s">
        <v>247</v>
      </c>
      <c r="E6" s="198" t="s">
        <v>7</v>
      </c>
      <c r="G6" t="s">
        <v>111</v>
      </c>
      <c r="H6" s="197">
        <v>78</v>
      </c>
      <c r="I6">
        <v>2</v>
      </c>
      <c r="J6">
        <v>2</v>
      </c>
      <c r="S6">
        <v>10000</v>
      </c>
      <c r="T6">
        <v>0.6</v>
      </c>
    </row>
    <row r="7" spans="2:21" ht="15" customHeight="1">
      <c r="B7" s="32" t="s">
        <v>135</v>
      </c>
      <c r="C7" s="229" t="s">
        <v>7</v>
      </c>
      <c r="D7" s="232" t="s">
        <v>203</v>
      </c>
      <c r="E7" s="198" t="s">
        <v>1</v>
      </c>
      <c r="F7">
        <v>1</v>
      </c>
      <c r="G7" t="s">
        <v>110</v>
      </c>
      <c r="H7" s="197">
        <v>2</v>
      </c>
      <c r="I7">
        <v>3</v>
      </c>
      <c r="J7">
        <v>3</v>
      </c>
      <c r="L7" t="s">
        <v>95</v>
      </c>
      <c r="M7" t="b">
        <v>0</v>
      </c>
      <c r="S7">
        <v>333</v>
      </c>
    </row>
    <row r="8" spans="2:21" ht="15" customHeight="1">
      <c r="B8" s="32" t="s">
        <v>136</v>
      </c>
      <c r="C8" s="229" t="s">
        <v>7</v>
      </c>
      <c r="D8" s="232" t="s">
        <v>204</v>
      </c>
      <c r="E8" t="s">
        <v>7</v>
      </c>
      <c r="G8" t="s">
        <v>111</v>
      </c>
      <c r="H8" s="197">
        <v>134</v>
      </c>
      <c r="I8">
        <v>4</v>
      </c>
      <c r="J8">
        <v>4</v>
      </c>
      <c r="S8">
        <v>200000</v>
      </c>
    </row>
    <row r="9" spans="2:21" ht="15" customHeight="1">
      <c r="B9" s="32" t="s">
        <v>137</v>
      </c>
      <c r="C9" s="229" t="s">
        <v>7</v>
      </c>
      <c r="D9" s="232" t="s">
        <v>205</v>
      </c>
      <c r="E9" t="s">
        <v>7</v>
      </c>
      <c r="I9">
        <v>5</v>
      </c>
      <c r="J9">
        <v>5</v>
      </c>
      <c r="L9" t="s">
        <v>96</v>
      </c>
      <c r="M9" t="b">
        <v>0</v>
      </c>
    </row>
    <row r="10" spans="2:21" ht="15" customHeight="1">
      <c r="B10" s="32" t="s">
        <v>138</v>
      </c>
      <c r="C10" s="229" t="s">
        <v>7</v>
      </c>
      <c r="D10" s="232" t="s">
        <v>206</v>
      </c>
      <c r="E10" t="s">
        <v>7</v>
      </c>
      <c r="I10">
        <v>6</v>
      </c>
      <c r="J10">
        <v>6</v>
      </c>
    </row>
    <row r="11" spans="2:21" ht="15" customHeight="1">
      <c r="B11" s="32" t="s">
        <v>139</v>
      </c>
      <c r="C11" s="229" t="s">
        <v>7</v>
      </c>
      <c r="D11" s="231" t="s">
        <v>248</v>
      </c>
      <c r="E11" t="s">
        <v>7</v>
      </c>
      <c r="J11">
        <v>7</v>
      </c>
      <c r="L11" t="s">
        <v>97</v>
      </c>
      <c r="M11" t="b">
        <v>0</v>
      </c>
      <c r="S11" s="2">
        <v>43900</v>
      </c>
    </row>
    <row r="12" spans="2:21" ht="15" customHeight="1">
      <c r="B12" s="32" t="s">
        <v>140</v>
      </c>
      <c r="C12" s="229" t="s">
        <v>7</v>
      </c>
      <c r="D12" s="231" t="s">
        <v>246</v>
      </c>
      <c r="E12" t="s">
        <v>7</v>
      </c>
      <c r="J12">
        <v>8</v>
      </c>
      <c r="S12" s="2"/>
    </row>
    <row r="13" spans="2:21" ht="15" customHeight="1">
      <c r="B13" s="32" t="s">
        <v>141</v>
      </c>
      <c r="C13" s="229" t="s">
        <v>7</v>
      </c>
      <c r="D13" s="231" t="s">
        <v>249</v>
      </c>
      <c r="E13" t="s">
        <v>7</v>
      </c>
      <c r="J13">
        <v>9</v>
      </c>
      <c r="L13" t="s">
        <v>118</v>
      </c>
      <c r="M13" t="b">
        <v>0</v>
      </c>
      <c r="S13" s="2" t="s">
        <v>5</v>
      </c>
    </row>
    <row r="14" spans="2:21" ht="15" customHeight="1">
      <c r="B14" s="32" t="s">
        <v>142</v>
      </c>
      <c r="C14" s="229" t="s">
        <v>7</v>
      </c>
      <c r="D14" s="231" t="s">
        <v>250</v>
      </c>
      <c r="E14" t="s">
        <v>7</v>
      </c>
      <c r="J14">
        <v>10</v>
      </c>
      <c r="S14" s="2">
        <v>43466</v>
      </c>
      <c r="U14" s="2">
        <v>43831</v>
      </c>
    </row>
    <row r="15" spans="2:21" ht="15" customHeight="1">
      <c r="B15" s="33" t="s">
        <v>143</v>
      </c>
      <c r="C15" s="229" t="s">
        <v>7</v>
      </c>
      <c r="D15" s="231" t="s">
        <v>251</v>
      </c>
      <c r="E15" t="s">
        <v>7</v>
      </c>
      <c r="J15">
        <v>11</v>
      </c>
      <c r="L15" t="s">
        <v>308</v>
      </c>
      <c r="M15" t="b">
        <v>0</v>
      </c>
      <c r="U15" s="2">
        <v>43861</v>
      </c>
    </row>
    <row r="16" spans="2:21" ht="15" customHeight="1">
      <c r="B16" s="32" t="s">
        <v>144</v>
      </c>
      <c r="C16" s="229" t="s">
        <v>7</v>
      </c>
      <c r="D16" s="232" t="s">
        <v>207</v>
      </c>
      <c r="E16" t="s">
        <v>7</v>
      </c>
      <c r="J16">
        <v>12</v>
      </c>
      <c r="U16" s="2">
        <v>43862</v>
      </c>
    </row>
    <row r="17" spans="2:22" ht="15" customHeight="1">
      <c r="B17" s="32" t="s">
        <v>145</v>
      </c>
      <c r="C17" s="229" t="s">
        <v>7</v>
      </c>
      <c r="D17" s="232" t="s">
        <v>208</v>
      </c>
      <c r="E17" t="s">
        <v>7</v>
      </c>
      <c r="J17">
        <v>13</v>
      </c>
      <c r="L17" t="s">
        <v>314</v>
      </c>
      <c r="M17" t="b">
        <v>0</v>
      </c>
      <c r="S17" s="2">
        <v>43539</v>
      </c>
      <c r="U17" s="2">
        <v>43890</v>
      </c>
    </row>
    <row r="18" spans="2:22" ht="15" customHeight="1">
      <c r="B18" s="34" t="s">
        <v>192</v>
      </c>
      <c r="C18" s="229" t="s">
        <v>7</v>
      </c>
      <c r="D18" s="232" t="s">
        <v>209</v>
      </c>
      <c r="E18" t="s">
        <v>7</v>
      </c>
      <c r="J18">
        <v>14</v>
      </c>
      <c r="U18" s="2">
        <v>43891</v>
      </c>
    </row>
    <row r="19" spans="2:22" ht="15" customHeight="1">
      <c r="B19" s="32" t="s">
        <v>146</v>
      </c>
      <c r="C19" s="229" t="s">
        <v>7</v>
      </c>
      <c r="D19" s="232" t="s">
        <v>210</v>
      </c>
      <c r="E19" t="s">
        <v>7</v>
      </c>
      <c r="J19">
        <v>15</v>
      </c>
      <c r="L19" t="s">
        <v>322</v>
      </c>
      <c r="M19" t="b">
        <v>0</v>
      </c>
      <c r="U19" s="2">
        <v>43900</v>
      </c>
    </row>
    <row r="20" spans="2:22" ht="15" customHeight="1">
      <c r="B20" s="32" t="s">
        <v>147</v>
      </c>
      <c r="C20" s="229" t="s">
        <v>7</v>
      </c>
      <c r="D20" s="232" t="s">
        <v>211</v>
      </c>
      <c r="E20" t="s">
        <v>7</v>
      </c>
      <c r="J20">
        <v>16</v>
      </c>
      <c r="S20" s="2">
        <v>43617</v>
      </c>
      <c r="U20" s="2">
        <v>43905</v>
      </c>
    </row>
    <row r="21" spans="2:22" ht="15" customHeight="1">
      <c r="B21" s="32" t="s">
        <v>148</v>
      </c>
      <c r="C21" s="229" t="s">
        <v>7</v>
      </c>
      <c r="D21" s="232" t="s">
        <v>212</v>
      </c>
      <c r="E21" t="s">
        <v>7</v>
      </c>
      <c r="J21">
        <v>17</v>
      </c>
      <c r="S21" s="2">
        <v>43646</v>
      </c>
      <c r="U21" s="2">
        <v>44012</v>
      </c>
      <c r="V21" s="2"/>
    </row>
    <row r="22" spans="2:22" ht="15" customHeight="1">
      <c r="B22" s="32" t="s">
        <v>149</v>
      </c>
      <c r="C22" s="229" t="s">
        <v>7</v>
      </c>
      <c r="D22" s="232" t="s">
        <v>213</v>
      </c>
      <c r="E22" t="s">
        <v>7</v>
      </c>
      <c r="J22">
        <v>18</v>
      </c>
      <c r="S22" s="2">
        <v>43647</v>
      </c>
      <c r="U22" s="2">
        <v>44013</v>
      </c>
    </row>
    <row r="23" spans="2:22" ht="15" customHeight="1">
      <c r="B23" s="32" t="s">
        <v>150</v>
      </c>
      <c r="C23" s="229" t="s">
        <v>7</v>
      </c>
      <c r="D23" s="232" t="s">
        <v>214</v>
      </c>
      <c r="E23" t="s">
        <v>7</v>
      </c>
      <c r="J23">
        <v>19</v>
      </c>
      <c r="U23" s="2">
        <v>44074</v>
      </c>
    </row>
    <row r="24" spans="2:22" ht="15" customHeight="1">
      <c r="B24" s="32" t="s">
        <v>151</v>
      </c>
      <c r="C24" s="229" t="s">
        <v>7</v>
      </c>
      <c r="D24" s="232" t="s">
        <v>215</v>
      </c>
      <c r="E24" t="s">
        <v>7</v>
      </c>
      <c r="J24">
        <v>20</v>
      </c>
      <c r="R24" s="190"/>
      <c r="S24" s="2">
        <v>43738</v>
      </c>
      <c r="U24" s="2">
        <v>44104</v>
      </c>
    </row>
    <row r="25" spans="2:22" ht="15" customHeight="1">
      <c r="B25" s="32" t="s">
        <v>152</v>
      </c>
      <c r="C25" s="229" t="s">
        <v>7</v>
      </c>
      <c r="D25" s="232" t="s">
        <v>216</v>
      </c>
      <c r="E25" t="s">
        <v>7</v>
      </c>
      <c r="J25">
        <v>21</v>
      </c>
      <c r="R25" s="190"/>
      <c r="U25" s="2">
        <v>44105</v>
      </c>
    </row>
    <row r="26" spans="2:22" ht="15" customHeight="1">
      <c r="B26" s="32" t="s">
        <v>153</v>
      </c>
      <c r="C26" s="229" t="s">
        <v>7</v>
      </c>
      <c r="D26" s="232" t="s">
        <v>217</v>
      </c>
      <c r="E26" t="s">
        <v>7</v>
      </c>
      <c r="J26">
        <v>22</v>
      </c>
      <c r="S26" s="2">
        <v>43799</v>
      </c>
      <c r="U26" s="2">
        <v>44135</v>
      </c>
    </row>
    <row r="27" spans="2:22" ht="15" customHeight="1">
      <c r="B27" s="32" t="s">
        <v>184</v>
      </c>
      <c r="C27" s="229" t="s">
        <v>7</v>
      </c>
      <c r="D27" s="232" t="s">
        <v>218</v>
      </c>
      <c r="E27" t="s">
        <v>7</v>
      </c>
      <c r="J27">
        <v>23</v>
      </c>
      <c r="S27" s="2">
        <v>43800</v>
      </c>
      <c r="U27" s="2">
        <v>44165</v>
      </c>
    </row>
    <row r="28" spans="2:22" ht="15" customHeight="1">
      <c r="B28" s="32" t="s">
        <v>154</v>
      </c>
      <c r="C28" s="229" t="s">
        <v>7</v>
      </c>
      <c r="D28" s="232" t="s">
        <v>219</v>
      </c>
      <c r="E28" t="s">
        <v>7</v>
      </c>
      <c r="J28">
        <v>24</v>
      </c>
      <c r="S28" s="2">
        <v>43830</v>
      </c>
      <c r="U28" s="2">
        <v>44166</v>
      </c>
    </row>
    <row r="29" spans="2:22" ht="15" customHeight="1">
      <c r="B29" s="33" t="s">
        <v>155</v>
      </c>
      <c r="C29" s="229" t="s">
        <v>7</v>
      </c>
      <c r="D29" s="232" t="s">
        <v>220</v>
      </c>
      <c r="E29" t="s">
        <v>7</v>
      </c>
      <c r="J29">
        <v>25</v>
      </c>
      <c r="U29" s="2">
        <v>44196</v>
      </c>
    </row>
    <row r="30" spans="2:22" ht="15" customHeight="1">
      <c r="B30" s="32" t="s">
        <v>156</v>
      </c>
      <c r="C30" s="229" t="s">
        <v>7</v>
      </c>
      <c r="D30" s="232" t="s">
        <v>221</v>
      </c>
      <c r="E30" t="s">
        <v>7</v>
      </c>
      <c r="J30">
        <v>26</v>
      </c>
    </row>
    <row r="31" spans="2:22" ht="15" customHeight="1">
      <c r="B31" s="32" t="s">
        <v>157</v>
      </c>
      <c r="C31" s="229" t="s">
        <v>7</v>
      </c>
      <c r="D31" s="232" t="s">
        <v>222</v>
      </c>
      <c r="E31" t="s">
        <v>7</v>
      </c>
      <c r="J31">
        <v>27</v>
      </c>
    </row>
    <row r="32" spans="2:22" ht="15" customHeight="1">
      <c r="B32" s="32" t="s">
        <v>158</v>
      </c>
      <c r="C32" s="229" t="s">
        <v>7</v>
      </c>
      <c r="D32" s="232" t="s">
        <v>223</v>
      </c>
      <c r="E32" t="s">
        <v>7</v>
      </c>
      <c r="J32">
        <v>28</v>
      </c>
    </row>
    <row r="33" spans="2:29" ht="15" customHeight="1">
      <c r="B33" s="32" t="s">
        <v>159</v>
      </c>
      <c r="C33" s="229" t="s">
        <v>7</v>
      </c>
      <c r="D33" s="232" t="s">
        <v>224</v>
      </c>
      <c r="E33" t="s">
        <v>7</v>
      </c>
      <c r="J33">
        <v>29</v>
      </c>
    </row>
    <row r="34" spans="2:29" ht="15" customHeight="1">
      <c r="B34" s="32" t="s">
        <v>160</v>
      </c>
      <c r="C34" s="229" t="s">
        <v>7</v>
      </c>
      <c r="D34" s="232" t="s">
        <v>225</v>
      </c>
      <c r="E34" t="s">
        <v>7</v>
      </c>
      <c r="J34">
        <v>30</v>
      </c>
    </row>
    <row r="35" spans="2:29" ht="15" customHeight="1">
      <c r="B35" s="32" t="s">
        <v>161</v>
      </c>
      <c r="C35" s="229" t="s">
        <v>7</v>
      </c>
      <c r="D35" s="232" t="s">
        <v>226</v>
      </c>
      <c r="E35" t="s">
        <v>7</v>
      </c>
      <c r="J35">
        <v>31</v>
      </c>
    </row>
    <row r="36" spans="2:29" ht="15" customHeight="1">
      <c r="B36" s="32" t="s">
        <v>162</v>
      </c>
      <c r="C36" s="229" t="s">
        <v>7</v>
      </c>
      <c r="D36" s="244" t="s">
        <v>262</v>
      </c>
      <c r="E36" t="s">
        <v>7</v>
      </c>
    </row>
    <row r="37" spans="2:29" ht="15" customHeight="1">
      <c r="B37" s="32" t="s">
        <v>163</v>
      </c>
      <c r="C37" s="229" t="s">
        <v>7</v>
      </c>
      <c r="D37" s="232" t="s">
        <v>227</v>
      </c>
      <c r="E37" t="s">
        <v>7</v>
      </c>
    </row>
    <row r="38" spans="2:29" ht="15" customHeight="1">
      <c r="B38" s="32" t="s">
        <v>164</v>
      </c>
      <c r="C38" s="229" t="s">
        <v>7</v>
      </c>
      <c r="D38" s="232" t="s">
        <v>228</v>
      </c>
      <c r="E38" t="s">
        <v>7</v>
      </c>
    </row>
    <row r="39" spans="2:29" ht="15" customHeight="1">
      <c r="B39" s="32" t="s">
        <v>165</v>
      </c>
      <c r="C39" s="229" t="s">
        <v>7</v>
      </c>
      <c r="D39" s="232" t="s">
        <v>229</v>
      </c>
      <c r="E39" t="s">
        <v>7</v>
      </c>
    </row>
    <row r="40" spans="2:29" ht="15" customHeight="1">
      <c r="B40" s="33" t="s">
        <v>166</v>
      </c>
      <c r="C40" s="229" t="s">
        <v>7</v>
      </c>
      <c r="D40" s="232" t="s">
        <v>230</v>
      </c>
      <c r="E40" t="s">
        <v>7</v>
      </c>
    </row>
    <row r="41" spans="2:29" ht="15" customHeight="1">
      <c r="B41" s="32" t="s">
        <v>193</v>
      </c>
      <c r="C41" s="229" t="s">
        <v>7</v>
      </c>
      <c r="D41" s="232" t="s">
        <v>231</v>
      </c>
      <c r="E41" t="s">
        <v>7</v>
      </c>
    </row>
    <row r="42" spans="2:29" ht="15" customHeight="1">
      <c r="B42" s="33" t="s">
        <v>167</v>
      </c>
      <c r="C42" s="229" t="s">
        <v>7</v>
      </c>
      <c r="D42" s="232" t="s">
        <v>232</v>
      </c>
      <c r="E42" t="s">
        <v>7</v>
      </c>
    </row>
    <row r="43" spans="2:29" ht="15" customHeight="1">
      <c r="B43" s="32" t="s">
        <v>168</v>
      </c>
      <c r="C43" s="229" t="s">
        <v>7</v>
      </c>
      <c r="D43" s="232" t="s">
        <v>233</v>
      </c>
      <c r="E43" t="s">
        <v>7</v>
      </c>
    </row>
    <row r="44" spans="2:29" ht="15" customHeight="1">
      <c r="B44" s="32" t="s">
        <v>169</v>
      </c>
      <c r="C44" s="229" t="s">
        <v>7</v>
      </c>
      <c r="D44" s="233" t="s">
        <v>113</v>
      </c>
      <c r="E44" t="s">
        <v>7</v>
      </c>
    </row>
    <row r="45" spans="2:29" ht="15" customHeight="1">
      <c r="B45" s="32" t="s">
        <v>170</v>
      </c>
      <c r="C45" s="229" t="s">
        <v>7</v>
      </c>
      <c r="D45" s="232" t="s">
        <v>234</v>
      </c>
      <c r="E45" t="s">
        <v>7</v>
      </c>
    </row>
    <row r="46" spans="2:29" ht="15" customHeight="1">
      <c r="B46" s="32" t="s">
        <v>171</v>
      </c>
      <c r="C46" s="229" t="s">
        <v>7</v>
      </c>
      <c r="D46" s="232" t="s">
        <v>235</v>
      </c>
      <c r="E46" t="s">
        <v>7</v>
      </c>
    </row>
    <row r="47" spans="2:29" ht="15" customHeight="1">
      <c r="B47" s="32" t="s">
        <v>172</v>
      </c>
      <c r="C47" s="229" t="s">
        <v>7</v>
      </c>
      <c r="D47" s="232" t="s">
        <v>236</v>
      </c>
      <c r="E47" t="s">
        <v>7</v>
      </c>
      <c r="AC47" t="str">
        <f>IF(AC46&gt;=0.7,IF(AC41="OUI",Annexes!S6,IF(AND(AC42="OUI",AC40&gt;=0.8),"-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aide")),IF(AC46&gt;=0.5,IF(AC41="OUI","- L'entreprise a subi une perte d'au-moins 50 % en Octobre 2020 et est mentionnée en annexe 1 (S1) du décret 2020-1328, l'entreprise peut bénéficier à ce titre d'une aide plafonné à 10 000 €",IF(AND(AC42="OUI",AC40&gt;=0.8),"-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9" ht="15" customHeight="1">
      <c r="B48" s="32" t="s">
        <v>173</v>
      </c>
      <c r="C48" s="229" t="s">
        <v>7</v>
      </c>
      <c r="D48" s="245" t="s">
        <v>263</v>
      </c>
      <c r="E48" t="s">
        <v>7</v>
      </c>
    </row>
    <row r="49" spans="2:5" ht="15" customHeight="1">
      <c r="B49" s="34" t="s">
        <v>194</v>
      </c>
      <c r="C49" s="229" t="s">
        <v>7</v>
      </c>
      <c r="D49" s="234" t="s">
        <v>264</v>
      </c>
      <c r="E49" t="s">
        <v>7</v>
      </c>
    </row>
    <row r="50" spans="2:5" ht="15" customHeight="1">
      <c r="B50" s="34" t="s">
        <v>195</v>
      </c>
      <c r="C50" s="229" t="s">
        <v>7</v>
      </c>
      <c r="D50" s="234" t="s">
        <v>265</v>
      </c>
      <c r="E50" t="s">
        <v>7</v>
      </c>
    </row>
    <row r="51" spans="2:5" ht="15" customHeight="1">
      <c r="B51" s="32" t="s">
        <v>174</v>
      </c>
      <c r="C51" s="229" t="s">
        <v>7</v>
      </c>
      <c r="D51" s="234" t="s">
        <v>266</v>
      </c>
      <c r="E51" t="s">
        <v>7</v>
      </c>
    </row>
    <row r="52" spans="2:5" ht="15" customHeight="1">
      <c r="B52" s="32" t="s">
        <v>175</v>
      </c>
      <c r="C52" s="229" t="s">
        <v>7</v>
      </c>
      <c r="D52" s="234" t="s">
        <v>267</v>
      </c>
      <c r="E52" t="s">
        <v>7</v>
      </c>
    </row>
    <row r="53" spans="2:5" ht="15" customHeight="1">
      <c r="B53" s="32" t="s">
        <v>176</v>
      </c>
      <c r="C53" s="229" t="s">
        <v>7</v>
      </c>
      <c r="D53" s="234" t="s">
        <v>268</v>
      </c>
      <c r="E53" t="s">
        <v>7</v>
      </c>
    </row>
    <row r="54" spans="2:5" ht="15" customHeight="1">
      <c r="B54" s="32" t="s">
        <v>177</v>
      </c>
      <c r="C54" s="229" t="s">
        <v>7</v>
      </c>
      <c r="D54" s="234" t="s">
        <v>269</v>
      </c>
      <c r="E54" t="s">
        <v>7</v>
      </c>
    </row>
    <row r="55" spans="2:5" ht="15" customHeight="1">
      <c r="B55" s="32" t="s">
        <v>178</v>
      </c>
      <c r="C55" s="229" t="s">
        <v>7</v>
      </c>
      <c r="D55" s="234" t="s">
        <v>270</v>
      </c>
      <c r="E55" t="s">
        <v>7</v>
      </c>
    </row>
    <row r="56" spans="2:5" ht="15" customHeight="1">
      <c r="B56" s="33" t="s">
        <v>179</v>
      </c>
      <c r="C56" s="229" t="s">
        <v>7</v>
      </c>
      <c r="D56" s="235" t="s">
        <v>271</v>
      </c>
      <c r="E56" t="s">
        <v>7</v>
      </c>
    </row>
    <row r="57" spans="2:5" ht="15" customHeight="1">
      <c r="B57" s="34" t="s">
        <v>196</v>
      </c>
      <c r="C57" s="229" t="s">
        <v>7</v>
      </c>
      <c r="D57" s="235" t="s">
        <v>272</v>
      </c>
      <c r="E57" t="s">
        <v>7</v>
      </c>
    </row>
    <row r="58" spans="2:5" ht="15" customHeight="1">
      <c r="B58" s="34" t="s">
        <v>197</v>
      </c>
      <c r="C58" s="229" t="s">
        <v>7</v>
      </c>
      <c r="D58" s="235" t="s">
        <v>273</v>
      </c>
      <c r="E58" t="s">
        <v>7</v>
      </c>
    </row>
    <row r="59" spans="2:5" ht="15" customHeight="1">
      <c r="B59" s="34" t="s">
        <v>198</v>
      </c>
      <c r="C59" s="229" t="s">
        <v>7</v>
      </c>
      <c r="D59" s="235" t="s">
        <v>274</v>
      </c>
      <c r="E59" t="s">
        <v>7</v>
      </c>
    </row>
    <row r="60" spans="2:5" ht="15" customHeight="1">
      <c r="B60" s="34" t="s">
        <v>199</v>
      </c>
      <c r="C60" s="229" t="s">
        <v>7</v>
      </c>
      <c r="D60" s="235" t="s">
        <v>275</v>
      </c>
      <c r="E60" t="s">
        <v>7</v>
      </c>
    </row>
    <row r="61" spans="2:5" ht="15" customHeight="1">
      <c r="B61" s="34" t="s">
        <v>200</v>
      </c>
      <c r="C61" s="229" t="s">
        <v>7</v>
      </c>
      <c r="D61" s="235" t="s">
        <v>276</v>
      </c>
      <c r="E61" t="s">
        <v>7</v>
      </c>
    </row>
    <row r="62" spans="2:5" ht="15" customHeight="1">
      <c r="B62" s="34" t="s">
        <v>201</v>
      </c>
      <c r="C62" s="229" t="s">
        <v>7</v>
      </c>
      <c r="D62" s="235" t="s">
        <v>277</v>
      </c>
      <c r="E62" t="s">
        <v>7</v>
      </c>
    </row>
    <row r="63" spans="2:5" ht="15" customHeight="1">
      <c r="B63" s="35" t="s">
        <v>202</v>
      </c>
      <c r="C63" s="229" t="s">
        <v>7</v>
      </c>
      <c r="D63" s="235" t="s">
        <v>278</v>
      </c>
      <c r="E63" t="s">
        <v>7</v>
      </c>
    </row>
    <row r="64" spans="2:5" ht="15" customHeight="1">
      <c r="B64" s="241" t="s">
        <v>180</v>
      </c>
      <c r="C64" s="229" t="s">
        <v>7</v>
      </c>
      <c r="D64" s="235" t="s">
        <v>279</v>
      </c>
      <c r="E64" t="s">
        <v>7</v>
      </c>
    </row>
    <row r="65" spans="2:5" ht="15" customHeight="1">
      <c r="B65" s="242" t="s">
        <v>185</v>
      </c>
      <c r="C65" s="229" t="s">
        <v>7</v>
      </c>
      <c r="D65" s="235" t="s">
        <v>280</v>
      </c>
      <c r="E65" t="s">
        <v>7</v>
      </c>
    </row>
    <row r="66" spans="2:5" ht="15" customHeight="1">
      <c r="B66" s="242" t="s">
        <v>186</v>
      </c>
      <c r="C66" s="229" t="s">
        <v>7</v>
      </c>
      <c r="D66" s="235" t="s">
        <v>281</v>
      </c>
      <c r="E66" t="s">
        <v>7</v>
      </c>
    </row>
    <row r="67" spans="2:5" ht="15" customHeight="1">
      <c r="B67" s="242" t="s">
        <v>187</v>
      </c>
      <c r="C67" s="229" t="s">
        <v>7</v>
      </c>
      <c r="D67" s="235" t="s">
        <v>282</v>
      </c>
      <c r="E67" t="s">
        <v>7</v>
      </c>
    </row>
    <row r="68" spans="2:5" ht="15" customHeight="1">
      <c r="B68" s="242" t="s">
        <v>188</v>
      </c>
      <c r="C68" s="229" t="s">
        <v>7</v>
      </c>
      <c r="D68" s="235" t="s">
        <v>283</v>
      </c>
      <c r="E68" t="s">
        <v>7</v>
      </c>
    </row>
    <row r="69" spans="2:5" ht="15" customHeight="1">
      <c r="B69" s="242" t="s">
        <v>189</v>
      </c>
      <c r="C69" s="229" t="s">
        <v>7</v>
      </c>
      <c r="D69" s="235" t="s">
        <v>284</v>
      </c>
      <c r="E69" t="s">
        <v>7</v>
      </c>
    </row>
    <row r="70" spans="2:5" ht="15" customHeight="1">
      <c r="B70" s="242" t="s">
        <v>190</v>
      </c>
      <c r="C70" s="229" t="s">
        <v>7</v>
      </c>
      <c r="D70" s="235" t="s">
        <v>285</v>
      </c>
      <c r="E70" t="s">
        <v>7</v>
      </c>
    </row>
    <row r="71" spans="2:5" ht="15" customHeight="1">
      <c r="B71" s="242" t="s">
        <v>191</v>
      </c>
      <c r="C71" s="229" t="s">
        <v>7</v>
      </c>
      <c r="D71" s="235" t="s">
        <v>286</v>
      </c>
      <c r="E71" t="s">
        <v>7</v>
      </c>
    </row>
    <row r="72" spans="2:5" ht="15" customHeight="1">
      <c r="B72" s="243" t="s">
        <v>181</v>
      </c>
      <c r="C72" s="229" t="s">
        <v>7</v>
      </c>
      <c r="D72" s="235" t="s">
        <v>287</v>
      </c>
      <c r="E72" t="s">
        <v>7</v>
      </c>
    </row>
    <row r="73" spans="2:5" ht="15" customHeight="1">
      <c r="B73" s="243" t="s">
        <v>237</v>
      </c>
      <c r="C73" s="229" t="s">
        <v>7</v>
      </c>
      <c r="D73" s="235" t="s">
        <v>288</v>
      </c>
      <c r="E73" t="s">
        <v>7</v>
      </c>
    </row>
    <row r="74" spans="2:5" ht="15" customHeight="1">
      <c r="B74" s="243" t="s">
        <v>182</v>
      </c>
      <c r="C74" s="229" t="s">
        <v>7</v>
      </c>
      <c r="D74" s="235" t="s">
        <v>289</v>
      </c>
      <c r="E74" t="s">
        <v>7</v>
      </c>
    </row>
    <row r="75" spans="2:5" ht="15" customHeight="1">
      <c r="B75" s="243" t="s">
        <v>238</v>
      </c>
      <c r="C75" s="229" t="s">
        <v>7</v>
      </c>
      <c r="D75" s="235" t="s">
        <v>290</v>
      </c>
      <c r="E75" t="s">
        <v>7</v>
      </c>
    </row>
    <row r="76" spans="2:5" ht="15" customHeight="1">
      <c r="B76" s="243" t="s">
        <v>183</v>
      </c>
      <c r="C76" s="229" t="s">
        <v>7</v>
      </c>
      <c r="D76" s="235" t="s">
        <v>291</v>
      </c>
      <c r="E76" t="s">
        <v>7</v>
      </c>
    </row>
    <row r="77" spans="2:5" ht="15" customHeight="1">
      <c r="B77" s="243" t="s">
        <v>239</v>
      </c>
      <c r="C77" s="229" t="s">
        <v>7</v>
      </c>
      <c r="D77" s="235" t="s">
        <v>292</v>
      </c>
      <c r="E77" t="s">
        <v>7</v>
      </c>
    </row>
    <row r="78" spans="2:5" ht="15" customHeight="1">
      <c r="B78" s="243" t="s">
        <v>240</v>
      </c>
      <c r="C78" s="229" t="s">
        <v>7</v>
      </c>
      <c r="D78" s="235" t="s">
        <v>293</v>
      </c>
      <c r="E78" t="s">
        <v>7</v>
      </c>
    </row>
    <row r="79" spans="2:5" ht="15" customHeight="1">
      <c r="B79" s="243" t="s">
        <v>241</v>
      </c>
      <c r="C79" s="229" t="s">
        <v>7</v>
      </c>
      <c r="D79" s="235" t="s">
        <v>294</v>
      </c>
      <c r="E79" t="s">
        <v>7</v>
      </c>
    </row>
    <row r="80" spans="2:5" ht="15" customHeight="1">
      <c r="B80" s="243" t="s">
        <v>242</v>
      </c>
      <c r="C80" s="229" t="s">
        <v>7</v>
      </c>
      <c r="D80" s="235" t="s">
        <v>295</v>
      </c>
      <c r="E80" t="s">
        <v>7</v>
      </c>
    </row>
    <row r="81" spans="2:5" ht="15" customHeight="1">
      <c r="B81" s="243" t="s">
        <v>243</v>
      </c>
      <c r="C81" s="229" t="s">
        <v>7</v>
      </c>
      <c r="D81" s="235" t="s">
        <v>296</v>
      </c>
      <c r="E81" t="s">
        <v>7</v>
      </c>
    </row>
    <row r="82" spans="2:5" ht="15" customHeight="1">
      <c r="B82" s="243" t="s">
        <v>244</v>
      </c>
      <c r="C82" s="229" t="s">
        <v>7</v>
      </c>
      <c r="D82" s="233" t="s">
        <v>300</v>
      </c>
      <c r="E82" t="s">
        <v>7</v>
      </c>
    </row>
    <row r="83" spans="2:5" ht="15" customHeight="1">
      <c r="B83" s="229"/>
      <c r="C83" s="229" t="s">
        <v>7</v>
      </c>
      <c r="D83" s="235" t="s">
        <v>297</v>
      </c>
      <c r="E83" t="s">
        <v>7</v>
      </c>
    </row>
    <row r="84" spans="2:5" ht="15" customHeight="1">
      <c r="B84" s="229"/>
      <c r="C84" s="229" t="s">
        <v>7</v>
      </c>
      <c r="D84" s="235" t="s">
        <v>298</v>
      </c>
      <c r="E84" t="s">
        <v>7</v>
      </c>
    </row>
    <row r="85" spans="2:5" ht="15" customHeight="1">
      <c r="B85" s="229"/>
      <c r="C85" s="229" t="s">
        <v>7</v>
      </c>
      <c r="D85" s="235" t="s">
        <v>299</v>
      </c>
      <c r="E85" t="s">
        <v>7</v>
      </c>
    </row>
    <row r="86" spans="2:5" ht="15" customHeight="1">
      <c r="B86" s="229"/>
      <c r="C86" s="229" t="s">
        <v>7</v>
      </c>
      <c r="D86" s="236" t="s">
        <v>252</v>
      </c>
      <c r="E86" t="s">
        <v>7</v>
      </c>
    </row>
    <row r="87" spans="2:5" ht="15" customHeight="1">
      <c r="B87" s="229"/>
      <c r="C87" s="229" t="s">
        <v>7</v>
      </c>
      <c r="D87" s="236" t="s">
        <v>253</v>
      </c>
      <c r="E87" t="s">
        <v>7</v>
      </c>
    </row>
    <row r="88" spans="2:5" ht="15" customHeight="1">
      <c r="B88" s="229"/>
      <c r="C88" s="229" t="s">
        <v>7</v>
      </c>
      <c r="D88" s="236" t="s">
        <v>254</v>
      </c>
      <c r="E88" t="s">
        <v>7</v>
      </c>
    </row>
    <row r="89" spans="2:5" ht="15" customHeight="1">
      <c r="B89" s="229"/>
      <c r="C89" s="229"/>
      <c r="D89" s="236" t="s">
        <v>255</v>
      </c>
      <c r="E89" t="s">
        <v>7</v>
      </c>
    </row>
    <row r="90" spans="2:5" ht="15" customHeight="1">
      <c r="B90" s="229"/>
      <c r="C90" s="229"/>
      <c r="D90" s="236" t="s">
        <v>256</v>
      </c>
      <c r="E90" t="s">
        <v>7</v>
      </c>
    </row>
    <row r="91" spans="2:5" ht="15" customHeight="1">
      <c r="B91" s="229"/>
      <c r="C91" s="229"/>
      <c r="D91" s="236" t="s">
        <v>257</v>
      </c>
      <c r="E91" t="s">
        <v>7</v>
      </c>
    </row>
    <row r="92" spans="2:5" ht="15" customHeight="1">
      <c r="B92" s="229"/>
      <c r="C92" s="229"/>
      <c r="D92" s="246" t="s">
        <v>258</v>
      </c>
      <c r="E92" t="s">
        <v>7</v>
      </c>
    </row>
    <row r="93" spans="2:5" ht="15" customHeight="1">
      <c r="B93" s="229"/>
      <c r="C93" s="229"/>
      <c r="D93" s="236" t="s">
        <v>259</v>
      </c>
      <c r="E93" t="s">
        <v>7</v>
      </c>
    </row>
    <row r="94" spans="2:5" ht="15" customHeight="1">
      <c r="B94" s="229"/>
      <c r="C94" s="229"/>
      <c r="D94" s="246" t="s">
        <v>260</v>
      </c>
      <c r="E94" t="s">
        <v>7</v>
      </c>
    </row>
    <row r="95" spans="2:5" ht="15" customHeight="1">
      <c r="B95" s="229"/>
      <c r="C95" s="229"/>
      <c r="D95" s="246" t="s">
        <v>261</v>
      </c>
      <c r="E95" t="s">
        <v>7</v>
      </c>
    </row>
    <row r="96" spans="2:5" ht="15" customHeight="1">
      <c r="B96" s="229"/>
      <c r="C96" s="229"/>
      <c r="D96" s="265" t="s">
        <v>325</v>
      </c>
      <c r="E96" t="s">
        <v>7</v>
      </c>
    </row>
    <row r="97" spans="2:5" ht="15" customHeight="1">
      <c r="B97" s="229"/>
      <c r="C97" s="229"/>
      <c r="D97" s="247" t="s">
        <v>326</v>
      </c>
      <c r="E97" t="s">
        <v>7</v>
      </c>
    </row>
    <row r="98" spans="2:5" ht="15" customHeight="1">
      <c r="B98" s="229"/>
      <c r="C98" s="229"/>
      <c r="D98" s="247" t="s">
        <v>327</v>
      </c>
      <c r="E98" t="s">
        <v>7</v>
      </c>
    </row>
    <row r="99" spans="2:5" ht="15" customHeight="1">
      <c r="B99" s="229"/>
      <c r="C99" s="229"/>
      <c r="D99" s="266" t="s">
        <v>301</v>
      </c>
      <c r="E99" t="s">
        <v>7</v>
      </c>
    </row>
    <row r="100" spans="2:5" ht="15" customHeight="1">
      <c r="B100" s="229"/>
      <c r="C100" s="229"/>
      <c r="D100" s="247" t="s">
        <v>302</v>
      </c>
      <c r="E100" t="s">
        <v>7</v>
      </c>
    </row>
    <row r="101" spans="2:5" ht="15" customHeight="1">
      <c r="B101" s="229"/>
      <c r="C101" s="229"/>
      <c r="D101" s="248" t="s">
        <v>303</v>
      </c>
      <c r="E101" t="s">
        <v>7</v>
      </c>
    </row>
    <row r="102" spans="2:5" ht="15" customHeight="1">
      <c r="B102" s="229"/>
      <c r="C102" s="229"/>
      <c r="D102" s="248" t="s">
        <v>304</v>
      </c>
      <c r="E102" t="s">
        <v>7</v>
      </c>
    </row>
    <row r="103" spans="2:5" ht="15" customHeight="1">
      <c r="B103" s="229"/>
      <c r="C103" s="229"/>
      <c r="D103" s="248" t="s">
        <v>305</v>
      </c>
      <c r="E103" t="s">
        <v>7</v>
      </c>
    </row>
    <row r="104" spans="2:5" ht="15" customHeight="1">
      <c r="B104" s="229"/>
      <c r="C104" s="229"/>
      <c r="D104" s="248" t="s">
        <v>131</v>
      </c>
      <c r="E104" t="s">
        <v>7</v>
      </c>
    </row>
    <row r="105" spans="2:5" ht="15" customHeight="1">
      <c r="B105" s="229"/>
      <c r="C105" s="229"/>
      <c r="D105" s="265" t="s">
        <v>331</v>
      </c>
      <c r="E105" t="s">
        <v>7</v>
      </c>
    </row>
    <row r="106" spans="2:5" ht="15" customHeight="1">
      <c r="B106" s="229"/>
      <c r="C106" s="229"/>
      <c r="D106" s="248" t="s">
        <v>328</v>
      </c>
      <c r="E106" t="s">
        <v>7</v>
      </c>
    </row>
    <row r="107" spans="2:5" ht="15" customHeight="1">
      <c r="B107" s="229"/>
      <c r="C107" s="229"/>
      <c r="D107" s="248" t="s">
        <v>329</v>
      </c>
      <c r="E107" t="s">
        <v>7</v>
      </c>
    </row>
    <row r="108" spans="2:5" ht="15" customHeight="1">
      <c r="B108" s="229"/>
      <c r="C108" s="229"/>
      <c r="D108" s="248" t="s">
        <v>330</v>
      </c>
      <c r="E108" t="s">
        <v>7</v>
      </c>
    </row>
    <row r="109" spans="2:5" ht="15" customHeight="1">
      <c r="B109" s="229"/>
      <c r="C109" s="229"/>
      <c r="D109" s="267" t="s">
        <v>332</v>
      </c>
      <c r="E109" t="s">
        <v>7</v>
      </c>
    </row>
    <row r="110" spans="2:5" ht="15" customHeight="1">
      <c r="B110" s="229"/>
      <c r="C110" s="229"/>
      <c r="D110" s="249" t="s">
        <v>333</v>
      </c>
      <c r="E110" t="s">
        <v>7</v>
      </c>
    </row>
    <row r="111" spans="2:5" ht="15" customHeight="1">
      <c r="B111" s="229"/>
      <c r="C111" s="229"/>
      <c r="D111" s="249" t="s">
        <v>334</v>
      </c>
      <c r="E111" t="s">
        <v>7</v>
      </c>
    </row>
    <row r="112" spans="2:5" ht="15" customHeight="1">
      <c r="B112" s="229"/>
      <c r="C112" s="229"/>
      <c r="D112" s="249" t="s">
        <v>335</v>
      </c>
      <c r="E112" t="s">
        <v>7</v>
      </c>
    </row>
    <row r="113" spans="2:5" ht="15" customHeight="1">
      <c r="B113" s="229"/>
      <c r="C113" s="229"/>
      <c r="D113" s="249" t="s">
        <v>336</v>
      </c>
      <c r="E113" t="s">
        <v>7</v>
      </c>
    </row>
    <row r="114" spans="2:5" ht="15" customHeight="1">
      <c r="B114" s="229"/>
      <c r="C114" s="229"/>
      <c r="D114" s="249" t="s">
        <v>337</v>
      </c>
      <c r="E114" t="s">
        <v>7</v>
      </c>
    </row>
    <row r="115" spans="2:5" ht="15" customHeight="1">
      <c r="B115" s="229"/>
      <c r="C115" s="229"/>
      <c r="D115" s="249" t="s">
        <v>338</v>
      </c>
      <c r="E115" t="s">
        <v>7</v>
      </c>
    </row>
    <row r="116" spans="2:5" ht="15" customHeight="1">
      <c r="B116" s="229"/>
      <c r="C116" s="229"/>
      <c r="D116" s="249" t="s">
        <v>339</v>
      </c>
      <c r="E116" t="s">
        <v>7</v>
      </c>
    </row>
    <row r="117" spans="2:5" ht="15" customHeight="1">
      <c r="B117" s="229"/>
      <c r="C117" s="229"/>
      <c r="D117" s="249" t="s">
        <v>340</v>
      </c>
      <c r="E117" t="s">
        <v>7</v>
      </c>
    </row>
    <row r="118" spans="2:5" ht="15" customHeight="1">
      <c r="B118" s="229"/>
      <c r="C118" s="229"/>
      <c r="D118" s="249" t="s">
        <v>341</v>
      </c>
      <c r="E118" t="s">
        <v>7</v>
      </c>
    </row>
    <row r="119" spans="2:5" ht="15" customHeight="1">
      <c r="B119" s="229"/>
      <c r="C119" s="229"/>
      <c r="D119" s="269" t="s">
        <v>356</v>
      </c>
      <c r="E119" t="s">
        <v>7</v>
      </c>
    </row>
    <row r="120" spans="2:5" ht="15" customHeight="1">
      <c r="B120" s="229"/>
      <c r="C120" s="229"/>
      <c r="D120" s="249" t="s">
        <v>357</v>
      </c>
      <c r="E120" t="s">
        <v>7</v>
      </c>
    </row>
    <row r="121" spans="2:5" ht="15" customHeight="1">
      <c r="B121" s="229"/>
      <c r="C121" s="229"/>
      <c r="D121" s="249" t="s">
        <v>358</v>
      </c>
      <c r="E121" t="s">
        <v>7</v>
      </c>
    </row>
    <row r="122" spans="2:5" ht="15" customHeight="1">
      <c r="B122" s="229"/>
      <c r="C122" s="229"/>
      <c r="D122" s="249" t="s">
        <v>359</v>
      </c>
      <c r="E122" t="s">
        <v>7</v>
      </c>
    </row>
    <row r="123" spans="2:5" ht="15" customHeight="1">
      <c r="B123" s="229"/>
      <c r="C123" s="229"/>
      <c r="D123" s="249" t="s">
        <v>360</v>
      </c>
      <c r="E123" t="s">
        <v>7</v>
      </c>
    </row>
    <row r="124" spans="2:5" ht="15" customHeight="1">
      <c r="B124" s="229"/>
      <c r="C124" s="229"/>
      <c r="D124" s="249" t="s">
        <v>342</v>
      </c>
      <c r="E124" t="s">
        <v>7</v>
      </c>
    </row>
    <row r="125" spans="2:5" ht="15" customHeight="1">
      <c r="B125" s="229"/>
      <c r="C125" s="229"/>
      <c r="D125" s="249" t="s">
        <v>343</v>
      </c>
      <c r="E125" t="s">
        <v>7</v>
      </c>
    </row>
    <row r="126" spans="2:5" ht="15" customHeight="1">
      <c r="B126" s="229"/>
      <c r="C126" s="229"/>
      <c r="D126" s="249" t="s">
        <v>344</v>
      </c>
      <c r="E126" t="s">
        <v>7</v>
      </c>
    </row>
    <row r="127" spans="2:5" ht="15" customHeight="1">
      <c r="B127" s="229"/>
      <c r="C127" s="229"/>
      <c r="D127" s="249" t="s">
        <v>345</v>
      </c>
      <c r="E127" t="s">
        <v>7</v>
      </c>
    </row>
    <row r="128" spans="2:5" ht="15" customHeight="1">
      <c r="B128" s="229"/>
      <c r="C128" s="229"/>
      <c r="D128" s="237" t="s">
        <v>346</v>
      </c>
      <c r="E128" t="s">
        <v>7</v>
      </c>
    </row>
    <row r="129" spans="2:5" ht="15" customHeight="1">
      <c r="B129" s="229"/>
      <c r="C129" s="229"/>
      <c r="D129" s="237" t="s">
        <v>347</v>
      </c>
      <c r="E129" t="s">
        <v>7</v>
      </c>
    </row>
    <row r="130" spans="2:5" ht="15" customHeight="1">
      <c r="B130" s="229"/>
      <c r="C130" s="229"/>
      <c r="D130" s="237" t="s">
        <v>348</v>
      </c>
      <c r="E130" t="s">
        <v>7</v>
      </c>
    </row>
    <row r="131" spans="2:5" ht="15" customHeight="1">
      <c r="B131" s="229"/>
      <c r="C131" s="229"/>
      <c r="D131" s="237" t="s">
        <v>349</v>
      </c>
      <c r="E131" t="s">
        <v>7</v>
      </c>
    </row>
    <row r="132" spans="2:5" ht="15" customHeight="1">
      <c r="D132" s="237" t="s">
        <v>350</v>
      </c>
      <c r="E132" t="s">
        <v>7</v>
      </c>
    </row>
    <row r="133" spans="2:5" ht="15" customHeight="1">
      <c r="D133" s="237" t="s">
        <v>351</v>
      </c>
      <c r="E133" t="s">
        <v>7</v>
      </c>
    </row>
    <row r="134" spans="2:5" ht="15" customHeight="1">
      <c r="D134" s="237" t="s">
        <v>352</v>
      </c>
      <c r="E134" t="s">
        <v>7</v>
      </c>
    </row>
    <row r="135" spans="2:5" ht="15" customHeight="1">
      <c r="D135" s="237" t="s">
        <v>353</v>
      </c>
      <c r="E135" t="s">
        <v>7</v>
      </c>
    </row>
    <row r="136" spans="2:5" ht="15" customHeight="1">
      <c r="D136" s="237" t="s">
        <v>354</v>
      </c>
      <c r="E136" t="s">
        <v>7</v>
      </c>
    </row>
    <row r="137" spans="2:5" ht="15" customHeight="1">
      <c r="D137" s="268" t="s">
        <v>355</v>
      </c>
      <c r="E137" t="s">
        <v>7</v>
      </c>
    </row>
    <row r="138" spans="2:5" ht="15" customHeight="1">
      <c r="E138" t="s">
        <v>7</v>
      </c>
    </row>
    <row r="139" spans="2:5" ht="15" customHeight="1">
      <c r="E139" t="s">
        <v>7</v>
      </c>
    </row>
    <row r="140" spans="2:5" ht="15" customHeight="1">
      <c r="E140" t="s">
        <v>7</v>
      </c>
    </row>
  </sheetData>
  <mergeCells count="1">
    <mergeCell ref="S4:T4"/>
  </mergeCells>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Mon Entreprise</vt:lpstr>
      <vt:lpstr>Mes Aides</vt:lpstr>
      <vt:lpstr>Explication des Calculs</vt:lpstr>
      <vt:lpstr>Annexes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2021-03-19T08:21:40Z</dcterms:modified>
</cp:coreProperties>
</file>